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735" activeTab="0"/>
  </bookViews>
  <sheets>
    <sheet name="Germany1" sheetId="1" r:id="rId1"/>
    <sheet name="Germany2" sheetId="2" r:id="rId2"/>
    <sheet name="Germany3" sheetId="3" r:id="rId3"/>
    <sheet name="Germany4" sheetId="4" r:id="rId4"/>
    <sheet name="Germany5" sheetId="5" r:id="rId5"/>
    <sheet name="Germany6" sheetId="6" r:id="rId6"/>
    <sheet name="GermanyA" sheetId="7" r:id="rId7"/>
    <sheet name="GermanyB" sheetId="8" r:id="rId8"/>
    <sheet name="GermanyC" sheetId="9" r:id="rId9"/>
    <sheet name="GermanyD" sheetId="10" r:id="rId10"/>
    <sheet name="Copper1" sheetId="11" r:id="rId11"/>
    <sheet name="Copper2" sheetId="12" r:id="rId12"/>
    <sheet name="Copper3" sheetId="13" r:id="rId13"/>
    <sheet name="NWGold" sheetId="14" r:id="rId14"/>
    <sheet name="Potosi1" sheetId="15" r:id="rId15"/>
    <sheet name="Potosi2" sheetId="16" r:id="rId16"/>
    <sheet name="Potosi3" sheetId="17" r:id="rId17"/>
    <sheet name="Potosi4" sheetId="18" r:id="rId18"/>
    <sheet name="Peru1" sheetId="19" r:id="rId19"/>
    <sheet name="Peru2" sheetId="20" r:id="rId20"/>
    <sheet name="Peru3" sheetId="21" r:id="rId21"/>
    <sheet name="Zacatecas1" sheetId="22" r:id="rId22"/>
    <sheet name="Zacatecas2" sheetId="23" r:id="rId23"/>
    <sheet name="Zacatecas3" sheetId="24" r:id="rId24"/>
    <sheet name="Sombrerete1" sheetId="25" r:id="rId25"/>
    <sheet name="Sombrerete2" sheetId="26" r:id="rId26"/>
    <sheet name="Sombrerete3" sheetId="27" r:id="rId27"/>
    <sheet name="Mexico" sheetId="28" r:id="rId28"/>
    <sheet name="MexicoB" sheetId="29" r:id="rId29"/>
    <sheet name="MexicoC" sheetId="30" r:id="rId30"/>
    <sheet name="VilarMex" sheetId="31" r:id="rId31"/>
    <sheet name="SevilleEx1" sheetId="32" r:id="rId32"/>
    <sheet name="Seville2" sheetId="33" r:id="rId33"/>
    <sheet name="Seville3a" sheetId="34" r:id="rId34"/>
    <sheet name="Seville3" sheetId="35" r:id="rId35"/>
    <sheet name="Seville4" sheetId="36" r:id="rId36"/>
    <sheet name="Seville10" sheetId="37" r:id="rId37"/>
    <sheet name="SpanAmer1" sheetId="38" r:id="rId38"/>
    <sheet name="SpanAmer1a" sheetId="39" r:id="rId39"/>
    <sheet name="SpanAmer1b" sheetId="40" r:id="rId40"/>
    <sheet name="SpanAmer1c" sheetId="41" r:id="rId41"/>
    <sheet name="SpanAmer2" sheetId="42" r:id="rId42"/>
    <sheet name="SpanAmer3" sheetId="43" r:id="rId43"/>
    <sheet name="SpanAmer4" sheetId="44" r:id="rId44"/>
    <sheet name="SpanAmer5" sheetId="45" r:id="rId45"/>
    <sheet name="MorineauA" sheetId="46" r:id="rId46"/>
    <sheet name="MorineauB" sheetId="47" r:id="rId47"/>
    <sheet name="Sheet1" sheetId="48" r:id="rId48"/>
  </sheets>
  <definedNames>
    <definedName name="_xlnm.Print_Titles" localSheetId="10">'Copper1'!$A:$A,'Copper1'!$1:$8</definedName>
    <definedName name="_xlnm.Print_Titles" localSheetId="11">'Copper2'!$A:$A,'Copper2'!$1:$8</definedName>
    <definedName name="_xlnm.Print_Titles" localSheetId="12">'Copper3'!$A:$A,'Copper3'!$1:$8</definedName>
    <definedName name="_xlnm.Print_Titles" localSheetId="0">'Germany1'!$A:$A,'Germany1'!$1:$8</definedName>
    <definedName name="_xlnm.Print_Titles" localSheetId="1">'Germany2'!$A:$A,'Germany2'!$1:$8</definedName>
    <definedName name="_xlnm.Print_Titles" localSheetId="2">'Germany3'!$A:$A,'Germany3'!$1:$8</definedName>
    <definedName name="_xlnm.Print_Titles" localSheetId="3">'Germany4'!$A:$A,'Germany4'!$1:$8</definedName>
    <definedName name="_xlnm.Print_Titles" localSheetId="4">'Germany5'!$A:$A,'Germany5'!$1:$8</definedName>
    <definedName name="_xlnm.Print_Titles" localSheetId="5">'Germany6'!$A:$A,'Germany6'!$1:$8</definedName>
    <definedName name="_xlnm.Print_Titles" localSheetId="6">'GermanyA'!$A:$A,'GermanyA'!$1:$8</definedName>
    <definedName name="_xlnm.Print_Titles" localSheetId="7">'GermanyB'!$A:$A,'GermanyB'!$1:$8</definedName>
    <definedName name="_xlnm.Print_Titles" localSheetId="8">'GermanyC'!$A:$A,'GermanyC'!$1:$8</definedName>
    <definedName name="_xlnm.Print_Titles" localSheetId="9">'GermanyD'!$A:$A,'GermanyD'!$1:$8</definedName>
    <definedName name="_xlnm.Print_Titles" localSheetId="27">'Mexico'!$A:$A,'Mexico'!$1:$8</definedName>
    <definedName name="_xlnm.Print_Titles" localSheetId="28">'MexicoB'!$A:$A,'MexicoB'!$1:$8</definedName>
    <definedName name="_xlnm.Print_Titles" localSheetId="29">'MexicoC'!$A:$A,'MexicoC'!$1:$8</definedName>
    <definedName name="_xlnm.Print_Titles" localSheetId="45">'MorineauA'!$A:$A,'MorineauA'!$1:$8</definedName>
    <definedName name="_xlnm.Print_Titles" localSheetId="46">'MorineauB'!$A:$A,'MorineauB'!$1:$8</definedName>
    <definedName name="_xlnm.Print_Titles" localSheetId="13">'NWGold'!$A:$A,'NWGold'!$1:$8</definedName>
    <definedName name="_xlnm.Print_Titles" localSheetId="18">'Peru1'!$A:$A,'Peru1'!$1:$8</definedName>
    <definedName name="_xlnm.Print_Titles" localSheetId="19">'Peru2'!$A:$A,'Peru2'!$1:$8</definedName>
    <definedName name="_xlnm.Print_Titles" localSheetId="20">'Peru3'!$A:$A,'Peru3'!$1:$8</definedName>
    <definedName name="_xlnm.Print_Titles" localSheetId="14">'Potosi1'!$A:$A,'Potosi1'!$1:$8</definedName>
    <definedName name="_xlnm.Print_Titles" localSheetId="15">'Potosi2'!$A:$A,'Potosi2'!$1:$8</definedName>
    <definedName name="_xlnm.Print_Titles" localSheetId="16">'Potosi3'!$A:$A,'Potosi3'!$1:$8</definedName>
    <definedName name="_xlnm.Print_Titles" localSheetId="17">'Potosi4'!$A:$A,'Potosi4'!$1:$8</definedName>
    <definedName name="_xlnm.Print_Titles" localSheetId="36">'Seville10'!$A:$A,'Seville10'!$1:$8</definedName>
    <definedName name="_xlnm.Print_Titles" localSheetId="32">'Seville2'!$A:$A,'Seville2'!$1:$8</definedName>
    <definedName name="_xlnm.Print_Titles" localSheetId="34">'Seville3'!$A:$A,'Seville3'!$1:$8</definedName>
    <definedName name="_xlnm.Print_Titles" localSheetId="33">'Seville3a'!$A:$A,'Seville3a'!$1:$8</definedName>
    <definedName name="_xlnm.Print_Titles" localSheetId="35">'Seville4'!$A:$A,'Seville4'!$1:$8</definedName>
    <definedName name="_xlnm.Print_Titles" localSheetId="31">'SevilleEx1'!$A:$A,'SevilleEx1'!$1:$8</definedName>
    <definedName name="_xlnm.Print_Titles" localSheetId="24">'Sombrerete1'!$A:$A,'Sombrerete1'!$1:$8</definedName>
    <definedName name="_xlnm.Print_Titles" localSheetId="25">'Sombrerete2'!$A:$A,'Sombrerete2'!$1:$8</definedName>
    <definedName name="_xlnm.Print_Titles" localSheetId="26">'Sombrerete3'!$A:$A,'Sombrerete3'!$1:$8</definedName>
    <definedName name="_xlnm.Print_Titles" localSheetId="37">'SpanAmer1'!$A:$A,'SpanAmer1'!$1:$8</definedName>
    <definedName name="_xlnm.Print_Titles" localSheetId="38">'SpanAmer1a'!$A:$A,'SpanAmer1a'!$1:$8</definedName>
    <definedName name="_xlnm.Print_Titles" localSheetId="39">'SpanAmer1b'!$A:$A,'SpanAmer1b'!$1:$8</definedName>
    <definedName name="_xlnm.Print_Titles" localSheetId="40">'SpanAmer1c'!$A:$A,'SpanAmer1c'!$1:$8</definedName>
    <definedName name="_xlnm.Print_Titles" localSheetId="41">'SpanAmer2'!$A:$A,'SpanAmer2'!$1:$8</definedName>
    <definedName name="_xlnm.Print_Titles" localSheetId="42">'SpanAmer3'!$A:$A,'SpanAmer3'!$1:$8</definedName>
    <definedName name="_xlnm.Print_Titles" localSheetId="43">'SpanAmer4'!$A:$A,'SpanAmer4'!$1:$8</definedName>
    <definedName name="_xlnm.Print_Titles" localSheetId="44">'SpanAmer5'!$A:$A,'SpanAmer5'!$1:$8</definedName>
    <definedName name="_xlnm.Print_Titles" localSheetId="30">'VilarMex'!$A:$A,'VilarMex'!$1:$8</definedName>
    <definedName name="_xlnm.Print_Titles" localSheetId="21">'Zacatecas1'!$A:$A,'Zacatecas1'!$1:$8</definedName>
    <definedName name="_xlnm.Print_Titles" localSheetId="22">'Zacatecas2'!$A:$A,'Zacatecas2'!$1:$8</definedName>
    <definedName name="_xlnm.Print_Titles" localSheetId="23">'Zacatecas3'!$A:$A,'Zacatecas3'!$1:$8</definedName>
  </definedNames>
  <calcPr fullCalcOnLoad="1"/>
</workbook>
</file>

<file path=xl/sharedStrings.xml><?xml version="1.0" encoding="utf-8"?>
<sst xmlns="http://schemas.openxmlformats.org/spreadsheetml/2006/main" count="2556" uniqueCount="584">
  <si>
    <t xml:space="preserve">Jahrbuch Für Geschichte: von Staat, Wirtschaft and Gesellschaft Lateinsamerikas, 17 (1980), </t>
  </si>
  <si>
    <t>Michel Morineau, 'D'Amsterdam à Seville: de quelle realité l'histoire des prix est-elle le miror',</t>
  </si>
  <si>
    <t/>
  </si>
  <si>
    <t xml:space="preserve"> </t>
  </si>
  <si>
    <t>Annales: Economies, sociétés, civilisations, 23 (1968), 196.</t>
  </si>
  <si>
    <t xml:space="preserve"> BOHEMIA</t>
  </si>
  <si>
    <t>1 mark = 226.9 grams = 8.75 pesos = 2380 maravedis;</t>
  </si>
  <si>
    <t>100 Antwerp lb</t>
  </si>
  <si>
    <t>Körmocbanya</t>
  </si>
  <si>
    <t>1470-4</t>
  </si>
  <si>
    <t>Michel Morineau, Incroyable gazettes at fabuleux métaux, Table 83, p. 578</t>
  </si>
  <si>
    <t>1471-5</t>
  </si>
  <si>
    <t xml:space="preserve"> in kilograms of fine metal, in quinquennial means: 1471-75 to 1546-50</t>
  </si>
  <si>
    <t>`</t>
  </si>
  <si>
    <t>1 peso of 450 maravedis = 42.29 g pure silver</t>
  </si>
  <si>
    <t>1470-9</t>
  </si>
  <si>
    <t>1471 - 1550, in kilograms of fine metal</t>
  </si>
  <si>
    <t>1471-75</t>
  </si>
  <si>
    <t>1471-80</t>
  </si>
  <si>
    <t>1475-9</t>
  </si>
  <si>
    <t>1476-80</t>
  </si>
  <si>
    <t>1480-4</t>
  </si>
  <si>
    <t>1480-9</t>
  </si>
  <si>
    <t>1481-85</t>
  </si>
  <si>
    <t>1481-90</t>
  </si>
  <si>
    <t>1485-9</t>
  </si>
  <si>
    <t>1486-90</t>
  </si>
  <si>
    <t>1490-1500</t>
  </si>
  <si>
    <t>1490-4</t>
  </si>
  <si>
    <t>1490-9</t>
  </si>
  <si>
    <t>1491-00</t>
  </si>
  <si>
    <t>1491-95</t>
  </si>
  <si>
    <t>1495-9</t>
  </si>
  <si>
    <t>1496-00</t>
  </si>
  <si>
    <t>1500-4</t>
  </si>
  <si>
    <t>1500-9</t>
  </si>
  <si>
    <t>1501-05</t>
  </si>
  <si>
    <t>1501-10</t>
  </si>
  <si>
    <t>1503-05</t>
  </si>
  <si>
    <t>1505-9</t>
  </si>
  <si>
    <t>1506-10</t>
  </si>
  <si>
    <t>1510-4</t>
  </si>
  <si>
    <t>1510-9</t>
  </si>
  <si>
    <t>1511-15</t>
  </si>
  <si>
    <t>1511-20</t>
  </si>
  <si>
    <t>1515-9</t>
  </si>
  <si>
    <t>1516-20</t>
  </si>
  <si>
    <t>1516-30</t>
  </si>
  <si>
    <t>1520-4</t>
  </si>
  <si>
    <t>1520-9</t>
  </si>
  <si>
    <t>1521-25</t>
  </si>
  <si>
    <t>1521-30</t>
  </si>
  <si>
    <t>1525-9</t>
  </si>
  <si>
    <t>1526-30</t>
  </si>
  <si>
    <t>1530-4</t>
  </si>
  <si>
    <t>1530-9</t>
  </si>
  <si>
    <t>1531-35</t>
  </si>
  <si>
    <t>1531-40</t>
  </si>
  <si>
    <t>1531-40 to 1791-1800</t>
  </si>
  <si>
    <t>1535-9</t>
  </si>
  <si>
    <t>1536-40</t>
  </si>
  <si>
    <t>1540-4</t>
  </si>
  <si>
    <t>1540-9</t>
  </si>
  <si>
    <t>1541-45</t>
  </si>
  <si>
    <t>1541-50</t>
  </si>
  <si>
    <t>1545-9</t>
  </si>
  <si>
    <t>1546-50</t>
  </si>
  <si>
    <t>1551-55</t>
  </si>
  <si>
    <t>1551-60</t>
  </si>
  <si>
    <t>1556-60</t>
  </si>
  <si>
    <t>1561-65</t>
  </si>
  <si>
    <t>1561-70</t>
  </si>
  <si>
    <t>1566-70</t>
  </si>
  <si>
    <t>1571-75</t>
  </si>
  <si>
    <t>1571-80</t>
  </si>
  <si>
    <t>1576-80</t>
  </si>
  <si>
    <t>1581-85</t>
  </si>
  <si>
    <t>1581-90</t>
  </si>
  <si>
    <t>1586-90</t>
  </si>
  <si>
    <t>1591-00</t>
  </si>
  <si>
    <t>1591-1600</t>
  </si>
  <si>
    <t>1591-1600=100</t>
  </si>
  <si>
    <t>1591-95</t>
  </si>
  <si>
    <t>1596-00</t>
  </si>
  <si>
    <t>1596-1600</t>
  </si>
  <si>
    <t>1601-00</t>
  </si>
  <si>
    <t>1601-05</t>
  </si>
  <si>
    <t>1601-10</t>
  </si>
  <si>
    <t>1606-10</t>
  </si>
  <si>
    <t>1611-15</t>
  </si>
  <si>
    <t>1611-20</t>
  </si>
  <si>
    <t>1616-20</t>
  </si>
  <si>
    <t>1621-21</t>
  </si>
  <si>
    <t>1621-25</t>
  </si>
  <si>
    <t>1621-30</t>
  </si>
  <si>
    <t>1626-30</t>
  </si>
  <si>
    <t>1631-35</t>
  </si>
  <si>
    <t>1631-40</t>
  </si>
  <si>
    <t>1636-40</t>
  </si>
  <si>
    <t>1641-45</t>
  </si>
  <si>
    <t>1641-50</t>
  </si>
  <si>
    <t>1646-50</t>
  </si>
  <si>
    <t xml:space="preserve">1651 </t>
  </si>
  <si>
    <t>1651-55</t>
  </si>
  <si>
    <t>1651-60</t>
  </si>
  <si>
    <t>1656-60</t>
  </si>
  <si>
    <t>1661-60</t>
  </si>
  <si>
    <t>1661-65</t>
  </si>
  <si>
    <t>1661-70</t>
  </si>
  <si>
    <t>1666-70</t>
  </si>
  <si>
    <t>1671-75</t>
  </si>
  <si>
    <t>1671-80</t>
  </si>
  <si>
    <t>1676-80</t>
  </si>
  <si>
    <t>1681-85</t>
  </si>
  <si>
    <t>1681-90</t>
  </si>
  <si>
    <t>1686-90</t>
  </si>
  <si>
    <t>1691-00</t>
  </si>
  <si>
    <t>1691-1700</t>
  </si>
  <si>
    <t>1691-95</t>
  </si>
  <si>
    <t>1696-00</t>
  </si>
  <si>
    <t>1696-1700</t>
  </si>
  <si>
    <t>1700-04</t>
  </si>
  <si>
    <t>1700-09</t>
  </si>
  <si>
    <t>1701-05</t>
  </si>
  <si>
    <t>1701-10</t>
  </si>
  <si>
    <t>1705-09</t>
  </si>
  <si>
    <t>1706-10</t>
  </si>
  <si>
    <t>1710-14</t>
  </si>
  <si>
    <t>1710-19</t>
  </si>
  <si>
    <t>1711-15</t>
  </si>
  <si>
    <t>1711-20</t>
  </si>
  <si>
    <t>1715-19</t>
  </si>
  <si>
    <t>1716-20</t>
  </si>
  <si>
    <t>1720-24</t>
  </si>
  <si>
    <t>1720-29</t>
  </si>
  <si>
    <t>1721-25</t>
  </si>
  <si>
    <t>1721-30</t>
  </si>
  <si>
    <t>1725-29</t>
  </si>
  <si>
    <t>1726-30</t>
  </si>
  <si>
    <t>1730-34</t>
  </si>
  <si>
    <t>1730-39</t>
  </si>
  <si>
    <t>1731-35</t>
  </si>
  <si>
    <t>1731-40</t>
  </si>
  <si>
    <t>1735-39</t>
  </si>
  <si>
    <t>1736-40</t>
  </si>
  <si>
    <t>1740-44</t>
  </si>
  <si>
    <t>1740-49</t>
  </si>
  <si>
    <t>1741-45</t>
  </si>
  <si>
    <t>1741-50</t>
  </si>
  <si>
    <t>1745-49</t>
  </si>
  <si>
    <t>1746-50</t>
  </si>
  <si>
    <t>1750-54</t>
  </si>
  <si>
    <t>1750-59</t>
  </si>
  <si>
    <t>1751-55</t>
  </si>
  <si>
    <t>1751-60</t>
  </si>
  <si>
    <t>1755-59</t>
  </si>
  <si>
    <t>1756-60</t>
  </si>
  <si>
    <t>1760-64</t>
  </si>
  <si>
    <t>1760-69</t>
  </si>
  <si>
    <t>1761-70</t>
  </si>
  <si>
    <t>1765-69</t>
  </si>
  <si>
    <t>1770-4</t>
  </si>
  <si>
    <t>1770-74</t>
  </si>
  <si>
    <t>1770-79</t>
  </si>
  <si>
    <t>1771-80</t>
  </si>
  <si>
    <t>1775-79</t>
  </si>
  <si>
    <t>1775-9</t>
  </si>
  <si>
    <t>1780-4</t>
  </si>
  <si>
    <t>1780-84</t>
  </si>
  <si>
    <t>1780-89</t>
  </si>
  <si>
    <t>1781-90</t>
  </si>
  <si>
    <t>1785-89</t>
  </si>
  <si>
    <t>1785-9</t>
  </si>
  <si>
    <t>1790-4</t>
  </si>
  <si>
    <t>1790-94</t>
  </si>
  <si>
    <t>1790-99</t>
  </si>
  <si>
    <t>1791-00</t>
  </si>
  <si>
    <t>1791-1800</t>
  </si>
  <si>
    <t>1795-9</t>
  </si>
  <si>
    <t>1795-99</t>
  </si>
  <si>
    <t>1800-04</t>
  </si>
  <si>
    <t>1800-09</t>
  </si>
  <si>
    <t>1800-4</t>
  </si>
  <si>
    <t>1801-10</t>
  </si>
  <si>
    <t>1805-09</t>
  </si>
  <si>
    <t>1805-9</t>
  </si>
  <si>
    <t>1810-14</t>
  </si>
  <si>
    <t>1810-19</t>
  </si>
  <si>
    <t>1810-4</t>
  </si>
  <si>
    <t>1815-19</t>
  </si>
  <si>
    <t>1815-9</t>
  </si>
  <si>
    <t>1820-24</t>
  </si>
  <si>
    <t>1820-4</t>
  </si>
  <si>
    <t>2380 mar.</t>
  </si>
  <si>
    <t>272 mar.</t>
  </si>
  <si>
    <t>272 maravedis</t>
  </si>
  <si>
    <t>30 April/48</t>
  </si>
  <si>
    <t>31 Mar/11</t>
  </si>
  <si>
    <t>31 March</t>
  </si>
  <si>
    <t>42.29 g per peso</t>
  </si>
  <si>
    <t>450 maravedis</t>
  </si>
  <si>
    <t>8.75/marc</t>
  </si>
  <si>
    <t>adjusted</t>
  </si>
  <si>
    <t>Africa</t>
  </si>
  <si>
    <t>aggregate?</t>
  </si>
  <si>
    <t>America</t>
  </si>
  <si>
    <t>American</t>
  </si>
  <si>
    <t xml:space="preserve">and Exports of Gold and Silver Bullion to Seville: </t>
  </si>
  <si>
    <t>and kilograms of fine silver, in decennial totals and means, 1581-90 to 1791-1800</t>
  </si>
  <si>
    <t>Annaberg</t>
  </si>
  <si>
    <t>Annual</t>
  </si>
  <si>
    <t>Annual Mean</t>
  </si>
  <si>
    <t>Annual Means:  expressed in equivalent metric tons of silver</t>
  </si>
  <si>
    <t>annual?</t>
  </si>
  <si>
    <t>Apr 1/11</t>
  </si>
  <si>
    <t>Apr 20/90</t>
  </si>
  <si>
    <t>Apr 21/96</t>
  </si>
  <si>
    <t>Apr 30/96</t>
  </si>
  <si>
    <t>April 1</t>
  </si>
  <si>
    <t>April 10</t>
  </si>
  <si>
    <t>April 13</t>
  </si>
  <si>
    <t>April 16</t>
  </si>
  <si>
    <t>April 17</t>
  </si>
  <si>
    <t>April 18</t>
  </si>
  <si>
    <t>April 19/90</t>
  </si>
  <si>
    <t>April 2</t>
  </si>
  <si>
    <t>April 2/87</t>
  </si>
  <si>
    <t>April 22</t>
  </si>
  <si>
    <t>April 22/53</t>
  </si>
  <si>
    <t>April 3</t>
  </si>
  <si>
    <t>April 30</t>
  </si>
  <si>
    <t>April 30/52</t>
  </si>
  <si>
    <t>April 30/68</t>
  </si>
  <si>
    <t>April 30/93</t>
  </si>
  <si>
    <t>April 5</t>
  </si>
  <si>
    <t xml:space="preserve">as % of </t>
  </si>
  <si>
    <t>Aug 1</t>
  </si>
  <si>
    <t>Aug 19</t>
  </si>
  <si>
    <t>Aug 19/66</t>
  </si>
  <si>
    <t>Aug 21/05</t>
  </si>
  <si>
    <t>Aug 31/90</t>
  </si>
  <si>
    <t>Average</t>
  </si>
  <si>
    <t>Begin</t>
  </si>
  <si>
    <t>Bohemia</t>
  </si>
  <si>
    <t>BOHEMIA</t>
  </si>
  <si>
    <t>Brazil</t>
  </si>
  <si>
    <t xml:space="preserve">Bullion Imports </t>
  </si>
  <si>
    <t>by 5 Year</t>
  </si>
  <si>
    <t>Caribbean</t>
  </si>
  <si>
    <t>Central European Copper Production and Exports</t>
  </si>
  <si>
    <t>Central European Copper Production and Exports: in Kilograms of Fine Copper</t>
  </si>
  <si>
    <t>Chile</t>
  </si>
  <si>
    <t>Company</t>
  </si>
  <si>
    <t>Cross</t>
  </si>
  <si>
    <t>Cross kg.</t>
  </si>
  <si>
    <t>cwt</t>
  </si>
  <si>
    <t>Daily</t>
  </si>
  <si>
    <t>Days</t>
  </si>
  <si>
    <t>Dec</t>
  </si>
  <si>
    <t>Dec 1/76</t>
  </si>
  <si>
    <t>Dec 1/83</t>
  </si>
  <si>
    <t>Dec 13/13</t>
  </si>
  <si>
    <t>Dec 31</t>
  </si>
  <si>
    <t>Dec 31/06</t>
  </si>
  <si>
    <t>Dec 31/14</t>
  </si>
  <si>
    <t>Dec 31/85</t>
  </si>
  <si>
    <t>Dec 31/99</t>
  </si>
  <si>
    <t>Dec2/83</t>
  </si>
  <si>
    <t>Decadal</t>
  </si>
  <si>
    <t>Decade</t>
  </si>
  <si>
    <t xml:space="preserve">Decennial </t>
  </si>
  <si>
    <t>Decennial Mean</t>
  </si>
  <si>
    <t>Decennial Total</t>
  </si>
  <si>
    <t>Disposition of Public Revenues from the Viceroyalty of Peru and Mexico in pesos</t>
  </si>
  <si>
    <t>Ecuador</t>
  </si>
  <si>
    <t>Eisleben</t>
  </si>
  <si>
    <t>End</t>
  </si>
  <si>
    <t>Ending</t>
  </si>
  <si>
    <t>Est Total</t>
  </si>
  <si>
    <t>Est.</t>
  </si>
  <si>
    <t>est. kg.</t>
  </si>
  <si>
    <t>Est. Total</t>
  </si>
  <si>
    <t>Estimate</t>
  </si>
  <si>
    <t>Estimate in kg.</t>
  </si>
  <si>
    <t>Estimated</t>
  </si>
  <si>
    <t>Estimated in kg</t>
  </si>
  <si>
    <t>Europe</t>
  </si>
  <si>
    <t>Exports of Spanish American Bullion to Seville</t>
  </si>
  <si>
    <t>EXPORTS OF SPANISH AMERICAN BULLION TO SEVILLE</t>
  </si>
  <si>
    <t>Exports: Total</t>
  </si>
  <si>
    <t>Feb 1</t>
  </si>
  <si>
    <t>Feb 1/10</t>
  </si>
  <si>
    <t>Feb 1/51</t>
  </si>
  <si>
    <t>Feb 23/98</t>
  </si>
  <si>
    <t>Feb 24/92</t>
  </si>
  <si>
    <t>Feb 25</t>
  </si>
  <si>
    <t>Feb 26/03</t>
  </si>
  <si>
    <t>Feb 27/03</t>
  </si>
  <si>
    <t>Feb 28</t>
  </si>
  <si>
    <t>Feb 28/65</t>
  </si>
  <si>
    <t>Feb 5/95</t>
  </si>
  <si>
    <t>fine metal</t>
  </si>
  <si>
    <t>fine silver</t>
  </si>
  <si>
    <t>Five</t>
  </si>
  <si>
    <t xml:space="preserve">Five Year </t>
  </si>
  <si>
    <t>Five Year Means: 1470-4 to 1545-9</t>
  </si>
  <si>
    <t>from Peru: in</t>
  </si>
  <si>
    <t>Fugger-</t>
  </si>
  <si>
    <t>Fugger Co.</t>
  </si>
  <si>
    <t>Fugger-Thurzo</t>
  </si>
  <si>
    <t>GERMAN - CENTRAL EUROPEAN SILVER PRODUCTION</t>
  </si>
  <si>
    <t>Gold</t>
  </si>
  <si>
    <t>Gold Imports</t>
  </si>
  <si>
    <t>Granada</t>
  </si>
  <si>
    <t>Guanjuato</t>
  </si>
  <si>
    <t>H + E</t>
  </si>
  <si>
    <t>Hettstedt</t>
  </si>
  <si>
    <t>HUNGARY</t>
  </si>
  <si>
    <t>Hungary:</t>
  </si>
  <si>
    <t>Import</t>
  </si>
  <si>
    <t>Imports</t>
  </si>
  <si>
    <t>Imports into Seville of Spanish American Gold and Silver Bullion</t>
  </si>
  <si>
    <t>imports kg</t>
  </si>
  <si>
    <t>Imports of Silver into Europe, in decennial means:  according to Michel Morineau</t>
  </si>
  <si>
    <t>Imports: Seville</t>
  </si>
  <si>
    <t>in 450 maravedis</t>
  </si>
  <si>
    <t xml:space="preserve">in Clara Eugenia Nunez, ed., Monetary History in Global Perspective, 1500 -1808 (Seville, 1998), pp. </t>
  </si>
  <si>
    <t>in decennial means:  1501-1510 to 1731-40</t>
  </si>
  <si>
    <t>in equivalent</t>
  </si>
  <si>
    <t>in kg</t>
  </si>
  <si>
    <t>in kg silver</t>
  </si>
  <si>
    <t>in kg.</t>
  </si>
  <si>
    <t>in kg. per year</t>
  </si>
  <si>
    <t>in kg. silver</t>
  </si>
  <si>
    <t xml:space="preserve">in kg: 42.29 g </t>
  </si>
  <si>
    <t>in kilograms</t>
  </si>
  <si>
    <t>in kilograms of fine silver: in annual means</t>
  </si>
  <si>
    <t>in kilograms:</t>
  </si>
  <si>
    <t>in Latin America</t>
  </si>
  <si>
    <t>in marks of 226.9 grams (8 onces per marc) and in kilograms of fine metal</t>
  </si>
  <si>
    <t>in pesos</t>
  </si>
  <si>
    <t>in pesos of</t>
  </si>
  <si>
    <t>in pesos of 450 maravedis and in kilograms of fine metals:</t>
  </si>
  <si>
    <t>in quinquennial and decennial totals, and in annual means</t>
  </si>
  <si>
    <t>in quinquennial means, 1501-1505 to 1656-61</t>
  </si>
  <si>
    <t>in quinquennial means, 1700-04 to 1820-24</t>
  </si>
  <si>
    <t>Index of</t>
  </si>
  <si>
    <t>Index of Silver</t>
  </si>
  <si>
    <t>Jan</t>
  </si>
  <si>
    <t>Jan 1</t>
  </si>
  <si>
    <t>Jan 26/92</t>
  </si>
  <si>
    <t>Jan 27/12</t>
  </si>
  <si>
    <t>Jan 27/13</t>
  </si>
  <si>
    <t>Jan 27/14</t>
  </si>
  <si>
    <t>Jan 28/12</t>
  </si>
  <si>
    <t>Jan 28/13</t>
  </si>
  <si>
    <t>Jan 28/14</t>
  </si>
  <si>
    <t>Jan 3/49</t>
  </si>
  <si>
    <t>Jan 4</t>
  </si>
  <si>
    <t>Jan 4/67</t>
  </si>
  <si>
    <t>Jan 4/99</t>
  </si>
  <si>
    <t>Jan 5/99</t>
  </si>
  <si>
    <t>Joachimstahl</t>
  </si>
  <si>
    <t>Joachimsthal</t>
  </si>
  <si>
    <t>John TePaske, "New World Gold Production in Hemispheric and Global Perspective, 1491-1810,"</t>
  </si>
  <si>
    <t>Jul 21/84</t>
  </si>
  <si>
    <t>July 1</t>
  </si>
  <si>
    <t>July 17</t>
  </si>
  <si>
    <t>July 17/70</t>
  </si>
  <si>
    <t>July 31/79</t>
  </si>
  <si>
    <t>July 8</t>
  </si>
  <si>
    <t>Jun 30/73</t>
  </si>
  <si>
    <t>June 13/50</t>
  </si>
  <si>
    <t>June 14</t>
  </si>
  <si>
    <t>June 30</t>
  </si>
  <si>
    <t>June 30/54</t>
  </si>
  <si>
    <t>June 30/67</t>
  </si>
  <si>
    <t>June 30/69</t>
  </si>
  <si>
    <t>June 30/80</t>
  </si>
  <si>
    <t>June 30/81</t>
  </si>
  <si>
    <t>June 4</t>
  </si>
  <si>
    <t>June 4/74</t>
  </si>
  <si>
    <t>June 5/94</t>
  </si>
  <si>
    <t>Kasperska Hora</t>
  </si>
  <si>
    <t>kg</t>
  </si>
  <si>
    <t>kg per year</t>
  </si>
  <si>
    <t>kg.</t>
  </si>
  <si>
    <t>kg. per year</t>
  </si>
  <si>
    <t>kilograms</t>
  </si>
  <si>
    <t>Kilograms</t>
  </si>
  <si>
    <t>Kutna Hora</t>
  </si>
  <si>
    <t>Lima Treasury</t>
  </si>
  <si>
    <t>Mar 21/88</t>
  </si>
  <si>
    <t>Mar 31/97</t>
  </si>
  <si>
    <t>March 12/88</t>
  </si>
  <si>
    <t>March 16</t>
  </si>
  <si>
    <t>March 18</t>
  </si>
  <si>
    <t>March 28</t>
  </si>
  <si>
    <t>March 29</t>
  </si>
  <si>
    <t>March 29/87</t>
  </si>
  <si>
    <t>March 31</t>
  </si>
  <si>
    <t>March 6</t>
  </si>
  <si>
    <t>March 8</t>
  </si>
  <si>
    <t>marcs</t>
  </si>
  <si>
    <t>Marcs</t>
  </si>
  <si>
    <t>marcs = 233.956 g</t>
  </si>
  <si>
    <t>marcs = 280.644g</t>
  </si>
  <si>
    <t>Marienberg</t>
  </si>
  <si>
    <t>marks</t>
  </si>
  <si>
    <t>Marks</t>
  </si>
  <si>
    <t>May 1</t>
  </si>
  <si>
    <t>May 1/89</t>
  </si>
  <si>
    <t>May 1/93</t>
  </si>
  <si>
    <t>May 1/96</t>
  </si>
  <si>
    <t>May 11/78</t>
  </si>
  <si>
    <t>May 12</t>
  </si>
  <si>
    <t>May 18/01</t>
  </si>
  <si>
    <t>May 18/69</t>
  </si>
  <si>
    <t>May 19/01</t>
  </si>
  <si>
    <t>May 2</t>
  </si>
  <si>
    <t>May 20/97</t>
  </si>
  <si>
    <t>May 21/97</t>
  </si>
  <si>
    <t>May 22</t>
  </si>
  <si>
    <t>May 5</t>
  </si>
  <si>
    <t>May 5/57</t>
  </si>
  <si>
    <t>May 6</t>
  </si>
  <si>
    <t>May 6/89</t>
  </si>
  <si>
    <t>Mean</t>
  </si>
  <si>
    <t>Mean Annual</t>
  </si>
  <si>
    <t>Mean Fine</t>
  </si>
  <si>
    <t>Mean Gold</t>
  </si>
  <si>
    <t>Mean Value of</t>
  </si>
  <si>
    <t>Means in pesos</t>
  </si>
  <si>
    <t>metric</t>
  </si>
  <si>
    <t>Mexican</t>
  </si>
  <si>
    <t>Mexican Silver Mining Production: Five Year Estimates in kilograms of fine metal</t>
  </si>
  <si>
    <t>Mexico</t>
  </si>
  <si>
    <t>Mexico in pesos</t>
  </si>
  <si>
    <t>Mexico:</t>
  </si>
  <si>
    <t>Mexico: in</t>
  </si>
  <si>
    <t>MEXICO: Silver Mining Outputs</t>
  </si>
  <si>
    <t>millions</t>
  </si>
  <si>
    <t>mined output</t>
  </si>
  <si>
    <t>mined outputs</t>
  </si>
  <si>
    <t>Mined Outputs</t>
  </si>
  <si>
    <t>Mined Outputs of Gold and Silver from Spanish America</t>
  </si>
  <si>
    <t>Mining Outputs</t>
  </si>
  <si>
    <t>missing</t>
  </si>
  <si>
    <t>Month:</t>
  </si>
  <si>
    <t>n.d.</t>
  </si>
  <si>
    <t>Nagybanya</t>
  </si>
  <si>
    <t>New</t>
  </si>
  <si>
    <t>NEW WORLD GOLD PRODUCTION: ESTIMATES</t>
  </si>
  <si>
    <t xml:space="preserve">No. </t>
  </si>
  <si>
    <t>Nov 12/97</t>
  </si>
  <si>
    <t>Nov 15/97</t>
  </si>
  <si>
    <t>Nov 30/76</t>
  </si>
  <si>
    <t>Nov 5/99</t>
  </si>
  <si>
    <t>Nov 6/99</t>
  </si>
  <si>
    <t>Oct 22/75</t>
  </si>
  <si>
    <t>Oct 24/71</t>
  </si>
  <si>
    <t>of 272 maravedis</t>
  </si>
  <si>
    <t>of 450 maravedis</t>
  </si>
  <si>
    <t>of Total</t>
  </si>
  <si>
    <t>onces</t>
  </si>
  <si>
    <t>Output</t>
  </si>
  <si>
    <t>Outputs</t>
  </si>
  <si>
    <t>Outputs in kg</t>
  </si>
  <si>
    <t>OUTPUTS OF SILVER FROM CENTRAL EUROPEAN MINES: in kilograms of pure silver</t>
  </si>
  <si>
    <t>Outputs of the Mexican and Peruvian Silver Mines in kilograms of fine metal</t>
  </si>
  <si>
    <t>per peso</t>
  </si>
  <si>
    <t>Percent</t>
  </si>
  <si>
    <t>Percent of</t>
  </si>
  <si>
    <t>Period</t>
  </si>
  <si>
    <t>Peru</t>
  </si>
  <si>
    <t>Peru in pesos</t>
  </si>
  <si>
    <t>Peru/Mexico</t>
  </si>
  <si>
    <t>Peru:</t>
  </si>
  <si>
    <t>Peru: Total</t>
  </si>
  <si>
    <t>pesos</t>
  </si>
  <si>
    <t>Pesos</t>
  </si>
  <si>
    <t>pesos ensayados or 450 marevedis</t>
  </si>
  <si>
    <t>Pesos of</t>
  </si>
  <si>
    <t xml:space="preserve">pesos of </t>
  </si>
  <si>
    <t>pesos of 450 maravedis</t>
  </si>
  <si>
    <t>Pierre Vilar, A History of Gold and Money</t>
  </si>
  <si>
    <t>POTOSI SILVER MINING PRODUCTION</t>
  </si>
  <si>
    <t>Potosi:</t>
  </si>
  <si>
    <t>Private : Means in pesos</t>
  </si>
  <si>
    <t>Private : Totals in pesos</t>
  </si>
  <si>
    <t>Private Bullion:</t>
  </si>
  <si>
    <t>Private: pesos of</t>
  </si>
  <si>
    <t>Production</t>
  </si>
  <si>
    <t>Public Bullion:</t>
  </si>
  <si>
    <t>Public: Means in pesos</t>
  </si>
  <si>
    <t>Public: pesos of</t>
  </si>
  <si>
    <t>Public: Totals in pesos</t>
  </si>
  <si>
    <t>Quinquennial Means from 1700-04</t>
  </si>
  <si>
    <t>quinquennial means, 1501-05 to 1656-61</t>
  </si>
  <si>
    <t>quinquennial totals and means, 1501-05 to 1556-61</t>
  </si>
  <si>
    <t>Remittances</t>
  </si>
  <si>
    <t>Remitted from</t>
  </si>
  <si>
    <t>Retained</t>
  </si>
  <si>
    <t>Revenues in</t>
  </si>
  <si>
    <t>S+A+M</t>
  </si>
  <si>
    <t>SAXONY</t>
  </si>
  <si>
    <t>Saxony:</t>
  </si>
  <si>
    <t>SAXONY: Est</t>
  </si>
  <si>
    <t>Schneeberg</t>
  </si>
  <si>
    <t>Schwaz</t>
  </si>
  <si>
    <t>Sep 24/84</t>
  </si>
  <si>
    <t>Sep 30</t>
  </si>
  <si>
    <t>Sept 1/90</t>
  </si>
  <si>
    <t>Share</t>
  </si>
  <si>
    <t>silver</t>
  </si>
  <si>
    <t>Silver</t>
  </si>
  <si>
    <t>Silver Imports</t>
  </si>
  <si>
    <t xml:space="preserve">Silver in </t>
  </si>
  <si>
    <t>Silver Mining</t>
  </si>
  <si>
    <t>Silver Outputs</t>
  </si>
  <si>
    <t>Silver Outputs from the Major South German-Central European Mines</t>
  </si>
  <si>
    <t>silver pesos of 8 reales or 272 maravedis = 25.931 grams</t>
  </si>
  <si>
    <t>Silver Production in the Spanish Viceroyalty of Peru, 1771 - 1824</t>
  </si>
  <si>
    <t>Slovakia</t>
  </si>
  <si>
    <t>SLOVAKIA</t>
  </si>
  <si>
    <t>Sombrerete</t>
  </si>
  <si>
    <t>SOMBRERETE  (MEXICO): MINING OUTPUTS OF FINE SILVER</t>
  </si>
  <si>
    <t>source</t>
  </si>
  <si>
    <t>Source:</t>
  </si>
  <si>
    <t>Source: Richard L. Garner, "Silver Production and Entrepreneurial Structure in 18th=Century Mexico,"</t>
  </si>
  <si>
    <t>Source: Richard L. Garner, "Silver Production and Entrepreneurial Structure in 18th-Century Mexico,"</t>
  </si>
  <si>
    <t>Span American</t>
  </si>
  <si>
    <t>Spanish</t>
  </si>
  <si>
    <t>Start</t>
  </si>
  <si>
    <t>Table 3.</t>
  </si>
  <si>
    <t>Table 3a.</t>
  </si>
  <si>
    <t>talents</t>
  </si>
  <si>
    <t>THURINGIA</t>
  </si>
  <si>
    <t>Thuringia:</t>
  </si>
  <si>
    <t>Thurzo-</t>
  </si>
  <si>
    <t>Thurzo kg</t>
  </si>
  <si>
    <t>Thurzo-Fugger</t>
  </si>
  <si>
    <t>times</t>
  </si>
  <si>
    <t>Tirol</t>
  </si>
  <si>
    <t>TIROL</t>
  </si>
  <si>
    <t>To Antwerp</t>
  </si>
  <si>
    <t>to Castile</t>
  </si>
  <si>
    <t>to Phillipines</t>
  </si>
  <si>
    <t xml:space="preserve">To Seville, in pesos of 450 maravedis: </t>
  </si>
  <si>
    <t>to Span American</t>
  </si>
  <si>
    <t>To Venice</t>
  </si>
  <si>
    <t>Total</t>
  </si>
  <si>
    <t>TOTAL</t>
  </si>
  <si>
    <t xml:space="preserve">TOTAL </t>
  </si>
  <si>
    <t>TOTAL Bullion:</t>
  </si>
  <si>
    <t>Total in kg</t>
  </si>
  <si>
    <t>Total kg</t>
  </si>
  <si>
    <t>Total Known</t>
  </si>
  <si>
    <t>Total marcs</t>
  </si>
  <si>
    <t>Total Ouputs</t>
  </si>
  <si>
    <t>Total S+A+M</t>
  </si>
  <si>
    <t>TOTAL VALUE</t>
  </si>
  <si>
    <t>TOTAL: in pesos of</t>
  </si>
  <si>
    <t>TOTAL: means in</t>
  </si>
  <si>
    <t>totals</t>
  </si>
  <si>
    <t>Totals</t>
  </si>
  <si>
    <t>TOTALS</t>
  </si>
  <si>
    <t>Totals by Decade; and Decennial Mean Totals, 1491-1500 to 1801-10</t>
  </si>
  <si>
    <t>Treasure Imports and Supplies in Europe: according to Michel Morineau</t>
  </si>
  <si>
    <t>TYROL:</t>
  </si>
  <si>
    <t>VALUE</t>
  </si>
  <si>
    <t>VALUES OF SPANISH AMERICAN BULLION EXPORTS</t>
  </si>
  <si>
    <t>vol.  in relation</t>
  </si>
  <si>
    <t>Westermann</t>
  </si>
  <si>
    <t>with exports to Venice and Antwerp, in quinquennial means:  1491-95 to 1536-40</t>
  </si>
  <si>
    <t>Year</t>
  </si>
  <si>
    <t>Year:</t>
  </si>
  <si>
    <t>Years</t>
  </si>
  <si>
    <t>Zacatecas</t>
  </si>
  <si>
    <t>ZACATECAS  (MEXICO): MINING OUTPUTS OF FINE SILVER</t>
  </si>
  <si>
    <t>ZACATECAS  (MEXICO): MINING OUTPUTS OF FINE SILVER in kilograms</t>
  </si>
  <si>
    <t>Zacatecas:</t>
  </si>
  <si>
    <t>Zentrum</t>
  </si>
  <si>
    <t>SILVER MINING IN SOUTH GERMANY AND CENTRAL EUROPE, 1470 - 1550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</si>
</sst>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#,##0.000"/>
    <numFmt numFmtId="168" formatCode="0.000"/>
    <numFmt numFmtId="169" formatCode="0.0"/>
    <numFmt numFmtId="170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27"/>
      <name val="Cambria"/>
      <family val="2"/>
    </font>
    <font>
      <b/>
      <sz val="11"/>
      <color indexed="27"/>
      <name val="Calibri"/>
      <family val="2"/>
    </font>
    <font>
      <sz val="11"/>
      <color indexed="36"/>
      <name val="Calibri"/>
      <family val="2"/>
    </font>
    <font>
      <sz val="11"/>
      <color indexed="21"/>
      <name val="Calibri"/>
      <family val="2"/>
    </font>
    <font>
      <sz val="11"/>
      <color indexed="61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4" fillId="0" borderId="0" applyNumberFormat="0" applyFill="0" applyBorder="0" applyAlignment="0" applyProtection="0"/>
    <xf numFmtId="2" fontId="0" fillId="2" borderId="0">
      <alignment/>
      <protection/>
    </xf>
    <xf numFmtId="0" fontId="25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10" fontId="0" fillId="2" borderId="0">
      <alignment/>
      <protection/>
    </xf>
    <xf numFmtId="0" fontId="31" fillId="0" borderId="0" applyNumberFormat="0" applyFill="0" applyBorder="0" applyAlignment="0" applyProtection="0"/>
    <xf numFmtId="0" fontId="0" fillId="2" borderId="7">
      <alignment/>
      <protection/>
    </xf>
    <xf numFmtId="0" fontId="32" fillId="0" borderId="0" applyNumberFormat="0" applyFill="0" applyBorder="0" applyAlignment="0" applyProtection="0"/>
  </cellStyleXfs>
  <cellXfs count="30"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166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4" fontId="0" fillId="2" borderId="0" xfId="0" applyNumberForma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3" fontId="0" fillId="2" borderId="0" xfId="0" applyNumberForma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10" fontId="0" fillId="2" borderId="0" xfId="0" applyNumberFormat="1" applyFill="1" applyAlignment="1">
      <alignment/>
    </xf>
    <xf numFmtId="0" fontId="3" fillId="2" borderId="0" xfId="0" applyFont="1" applyFill="1" applyAlignment="1">
      <alignment horizontal="left"/>
    </xf>
    <xf numFmtId="10" fontId="3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167" fontId="3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3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168" fontId="3" fillId="2" borderId="0" xfId="0" applyNumberFormat="1" applyFont="1" applyFill="1" applyAlignment="1">
      <alignment/>
    </xf>
    <xf numFmtId="169" fontId="0" fillId="2" borderId="0" xfId="0" applyNumberFormat="1" applyFill="1" applyAlignment="1">
      <alignment/>
    </xf>
    <xf numFmtId="169" fontId="3" fillId="2" borderId="0" xfId="0" applyNumberFormat="1" applyFont="1" applyFill="1" applyAlignment="1">
      <alignment/>
    </xf>
    <xf numFmtId="4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FFFF"/>
      <rgbColor rgb="00FFFF00"/>
      <rgbColor rgb="0080FFC0"/>
      <rgbColor rgb="000000C0"/>
      <rgbColor rgb="00FF80FF"/>
      <rgbColor rgb="0000FF00"/>
      <rgbColor rgb="00FF0000"/>
      <rgbColor rgb="000000FF"/>
      <rgbColor rgb="00FF0080"/>
      <rgbColor rgb="006000C0"/>
      <rgbColor rgb="00C0FF80"/>
      <rgbColor rgb="00800040"/>
      <rgbColor rgb="005F5F5F"/>
      <rgbColor rgb="00FF8000"/>
      <rgbColor rgb="0071FFFF"/>
      <rgbColor rgb="000060C0"/>
      <rgbColor rgb="0080FF80"/>
      <rgbColor rgb="00004080"/>
      <rgbColor rgb="0060C000"/>
      <rgbColor rgb="00008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90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5.57421875" style="11" customWidth="1"/>
    <col min="2" max="2" width="17.7109375" style="5" customWidth="1"/>
    <col min="3" max="3" width="12.7109375" style="5" customWidth="1"/>
    <col min="4" max="5" width="10.140625" style="5" customWidth="1"/>
    <col min="6" max="7" width="12.140625" style="5" customWidth="1"/>
    <col min="8" max="9" width="13.140625" style="5" customWidth="1"/>
    <col min="10" max="10" width="12.8515625" style="5" customWidth="1"/>
    <col min="11" max="11" width="13.57421875" style="5" customWidth="1"/>
    <col min="12" max="12" width="13.140625" style="12" customWidth="1"/>
    <col min="13" max="18" width="12.140625" style="5" customWidth="1"/>
    <col min="19" max="19" width="13.421875" style="5" customWidth="1"/>
    <col min="20" max="20" width="17.140625" style="5" customWidth="1"/>
    <col min="21" max="21" width="13.421875" style="5" customWidth="1"/>
    <col min="22" max="22" width="15.421875" style="9" customWidth="1"/>
    <col min="23" max="23" width="15.421875" style="5" customWidth="1"/>
  </cols>
  <sheetData>
    <row r="1" ht="12.75">
      <c r="E1" s="4" t="s">
        <v>583</v>
      </c>
    </row>
    <row r="3" spans="1:23" ht="12.75">
      <c r="A3" s="11" t="s">
        <v>575</v>
      </c>
      <c r="B3" s="4" t="s">
        <v>505</v>
      </c>
      <c r="C3" s="4" t="s">
        <v>505</v>
      </c>
      <c r="D3" s="4" t="s">
        <v>505</v>
      </c>
      <c r="E3" s="4" t="s">
        <v>505</v>
      </c>
      <c r="F3" s="4" t="s">
        <v>505</v>
      </c>
      <c r="G3" s="4" t="s">
        <v>505</v>
      </c>
      <c r="H3" s="4" t="s">
        <v>505</v>
      </c>
      <c r="I3" s="4" t="s">
        <v>505</v>
      </c>
      <c r="J3" s="4" t="s">
        <v>507</v>
      </c>
      <c r="K3" s="4" t="s">
        <v>507</v>
      </c>
      <c r="L3" s="14" t="s">
        <v>560</v>
      </c>
      <c r="M3" s="4" t="s">
        <v>537</v>
      </c>
      <c r="N3" s="4" t="s">
        <v>537</v>
      </c>
      <c r="O3" s="4" t="s">
        <v>537</v>
      </c>
      <c r="P3" s="4" t="s">
        <v>537</v>
      </c>
      <c r="Q3" s="4" t="s">
        <v>537</v>
      </c>
      <c r="R3" s="4" t="s">
        <v>537</v>
      </c>
      <c r="S3" s="4" t="s">
        <v>244</v>
      </c>
      <c r="T3" s="4" t="s">
        <v>244</v>
      </c>
      <c r="U3" s="4" t="s">
        <v>244</v>
      </c>
      <c r="V3" s="10" t="s">
        <v>524</v>
      </c>
      <c r="W3" s="4" t="s">
        <v>524</v>
      </c>
    </row>
    <row r="4" spans="2:23" ht="12.75">
      <c r="B4" s="4" t="s">
        <v>508</v>
      </c>
      <c r="C4" s="4" t="s">
        <v>508</v>
      </c>
      <c r="D4" s="4" t="s">
        <v>209</v>
      </c>
      <c r="E4" s="4" t="s">
        <v>209</v>
      </c>
      <c r="F4" s="4" t="s">
        <v>407</v>
      </c>
      <c r="G4" s="4" t="s">
        <v>407</v>
      </c>
      <c r="H4" s="4" t="s">
        <v>560</v>
      </c>
      <c r="I4" s="4" t="s">
        <v>560</v>
      </c>
      <c r="J4" s="4" t="s">
        <v>573</v>
      </c>
      <c r="K4" s="4" t="s">
        <v>573</v>
      </c>
      <c r="L4" s="14" t="s">
        <v>235</v>
      </c>
      <c r="M4" s="4" t="s">
        <v>316</v>
      </c>
      <c r="N4" s="4" t="s">
        <v>316</v>
      </c>
      <c r="O4" s="4" t="s">
        <v>275</v>
      </c>
      <c r="P4" s="4" t="s">
        <v>275</v>
      </c>
      <c r="Q4" s="4" t="s">
        <v>551</v>
      </c>
      <c r="R4" s="4" t="s">
        <v>551</v>
      </c>
      <c r="S4" s="4" t="s">
        <v>363</v>
      </c>
      <c r="T4" s="4" t="s">
        <v>363</v>
      </c>
      <c r="U4" s="4" t="s">
        <v>363</v>
      </c>
      <c r="V4" s="10" t="s">
        <v>309</v>
      </c>
      <c r="W4" s="10" t="s">
        <v>309</v>
      </c>
    </row>
    <row r="5" spans="2:23" ht="12.75">
      <c r="B5" s="4" t="s">
        <v>405</v>
      </c>
      <c r="C5" s="4" t="s">
        <v>384</v>
      </c>
      <c r="D5" s="4" t="s">
        <v>403</v>
      </c>
      <c r="E5" s="4" t="s">
        <v>384</v>
      </c>
      <c r="F5" s="4" t="s">
        <v>403</v>
      </c>
      <c r="G5" s="4" t="s">
        <v>384</v>
      </c>
      <c r="H5" s="4" t="s">
        <v>403</v>
      </c>
      <c r="I5" s="4" t="s">
        <v>384</v>
      </c>
      <c r="J5" s="4" t="s">
        <v>558</v>
      </c>
      <c r="K5" s="4" t="s">
        <v>556</v>
      </c>
      <c r="L5" s="14" t="s">
        <v>278</v>
      </c>
      <c r="M5" s="4" t="s">
        <v>403</v>
      </c>
      <c r="N5" s="4" t="s">
        <v>384</v>
      </c>
      <c r="O5" s="4" t="s">
        <v>403</v>
      </c>
      <c r="P5" s="4" t="s">
        <v>384</v>
      </c>
      <c r="Q5" s="4" t="s">
        <v>404</v>
      </c>
      <c r="R5" s="4" t="s">
        <v>384</v>
      </c>
      <c r="S5" s="4" t="s">
        <v>403</v>
      </c>
      <c r="T5" s="4" t="s">
        <v>406</v>
      </c>
      <c r="U5" s="4" t="s">
        <v>386</v>
      </c>
      <c r="V5" s="10" t="s">
        <v>536</v>
      </c>
      <c r="W5" s="4" t="s">
        <v>384</v>
      </c>
    </row>
    <row r="7" spans="1:2" ht="12.75">
      <c r="A7" s="11">
        <v>1470</v>
      </c>
      <c r="B7" s="29"/>
    </row>
    <row r="8" spans="1:12" ht="12.75">
      <c r="A8" s="11">
        <v>1471</v>
      </c>
      <c r="B8" s="5">
        <v>12400</v>
      </c>
      <c r="C8" s="5">
        <f aca="true" t="shared" si="0" ref="C8:C39">B8*0.233956</f>
        <v>2901.0544</v>
      </c>
      <c r="H8" s="5">
        <f aca="true" t="shared" si="1" ref="H8:H39">B8+D8+F8</f>
        <v>12400</v>
      </c>
      <c r="I8" s="5">
        <f aca="true" t="shared" si="2" ref="I8:I39">H8*0.233956</f>
        <v>2901.0544</v>
      </c>
      <c r="J8" s="5">
        <v>12400</v>
      </c>
      <c r="K8" s="5">
        <f aca="true" t="shared" si="3" ref="K8:K39">J8*0.233956</f>
        <v>2901.0544</v>
      </c>
      <c r="L8" s="12">
        <f aca="true" t="shared" si="4" ref="L8:L39">H8/J8</f>
        <v>1</v>
      </c>
    </row>
    <row r="9" spans="1:12" ht="12.75">
      <c r="A9" s="11">
        <v>1472</v>
      </c>
      <c r="B9" s="5">
        <v>29600</v>
      </c>
      <c r="C9" s="5">
        <f t="shared" si="0"/>
        <v>6925.0976</v>
      </c>
      <c r="H9" s="5">
        <f t="shared" si="1"/>
        <v>29600</v>
      </c>
      <c r="I9" s="5">
        <f t="shared" si="2"/>
        <v>6925.0976</v>
      </c>
      <c r="J9" s="5">
        <v>29600</v>
      </c>
      <c r="K9" s="5">
        <f t="shared" si="3"/>
        <v>6925.0976</v>
      </c>
      <c r="L9" s="12">
        <f t="shared" si="4"/>
        <v>1</v>
      </c>
    </row>
    <row r="10" spans="1:12" ht="12.75">
      <c r="A10" s="11">
        <v>1473</v>
      </c>
      <c r="B10" s="5">
        <v>4800</v>
      </c>
      <c r="C10" s="5">
        <f t="shared" si="0"/>
        <v>1122.9888</v>
      </c>
      <c r="H10" s="5">
        <f t="shared" si="1"/>
        <v>4800</v>
      </c>
      <c r="I10" s="5">
        <f t="shared" si="2"/>
        <v>1122.9888</v>
      </c>
      <c r="J10" s="5">
        <v>4800</v>
      </c>
      <c r="K10" s="5">
        <f t="shared" si="3"/>
        <v>1122.9888</v>
      </c>
      <c r="L10" s="12">
        <f t="shared" si="4"/>
        <v>1</v>
      </c>
    </row>
    <row r="11" spans="1:12" ht="12.75">
      <c r="A11" s="11">
        <v>1474</v>
      </c>
      <c r="B11" s="5">
        <v>33200</v>
      </c>
      <c r="C11" s="5">
        <f t="shared" si="0"/>
        <v>7767.3392</v>
      </c>
      <c r="H11" s="5">
        <f t="shared" si="1"/>
        <v>33200</v>
      </c>
      <c r="I11" s="5">
        <f t="shared" si="2"/>
        <v>7767.3392</v>
      </c>
      <c r="J11" s="5">
        <v>33200</v>
      </c>
      <c r="K11" s="5">
        <f t="shared" si="3"/>
        <v>7767.3392</v>
      </c>
      <c r="L11" s="12">
        <f t="shared" si="4"/>
        <v>1</v>
      </c>
    </row>
    <row r="12" spans="1:12" ht="12.75">
      <c r="A12" s="11">
        <v>1475</v>
      </c>
      <c r="B12" s="5">
        <v>13200</v>
      </c>
      <c r="C12" s="5">
        <f t="shared" si="0"/>
        <v>3088.2192</v>
      </c>
      <c r="H12" s="5">
        <f t="shared" si="1"/>
        <v>13200</v>
      </c>
      <c r="I12" s="5">
        <f t="shared" si="2"/>
        <v>3088.2192</v>
      </c>
      <c r="J12" s="5">
        <v>13200</v>
      </c>
      <c r="K12" s="5">
        <f t="shared" si="3"/>
        <v>3088.2192</v>
      </c>
      <c r="L12" s="12">
        <f t="shared" si="4"/>
        <v>1</v>
      </c>
    </row>
    <row r="13" spans="1:12" ht="12.75">
      <c r="A13" s="11">
        <v>1476</v>
      </c>
      <c r="B13" s="5">
        <v>38400</v>
      </c>
      <c r="C13" s="5">
        <f t="shared" si="0"/>
        <v>8983.9104</v>
      </c>
      <c r="H13" s="5">
        <f t="shared" si="1"/>
        <v>38400</v>
      </c>
      <c r="I13" s="5">
        <f t="shared" si="2"/>
        <v>8983.9104</v>
      </c>
      <c r="J13" s="5">
        <v>38400</v>
      </c>
      <c r="K13" s="5">
        <f t="shared" si="3"/>
        <v>8983.9104</v>
      </c>
      <c r="L13" s="12">
        <f t="shared" si="4"/>
        <v>1</v>
      </c>
    </row>
    <row r="14" spans="1:12" ht="12.75">
      <c r="A14" s="11">
        <v>1477</v>
      </c>
      <c r="B14" s="5">
        <v>77200</v>
      </c>
      <c r="C14" s="5">
        <f t="shared" si="0"/>
        <v>18061.4032</v>
      </c>
      <c r="H14" s="5">
        <f t="shared" si="1"/>
        <v>77200</v>
      </c>
      <c r="I14" s="5">
        <f t="shared" si="2"/>
        <v>18061.4032</v>
      </c>
      <c r="J14" s="5">
        <v>77200</v>
      </c>
      <c r="K14" s="5">
        <f t="shared" si="3"/>
        <v>18061.4032</v>
      </c>
      <c r="L14" s="12">
        <f t="shared" si="4"/>
        <v>1</v>
      </c>
    </row>
    <row r="15" spans="1:12" ht="12.75">
      <c r="A15" s="11">
        <v>1478</v>
      </c>
      <c r="B15" s="5">
        <v>31300</v>
      </c>
      <c r="C15" s="5">
        <f t="shared" si="0"/>
        <v>7322.8228</v>
      </c>
      <c r="H15" s="5">
        <f t="shared" si="1"/>
        <v>31300</v>
      </c>
      <c r="I15" s="5">
        <f t="shared" si="2"/>
        <v>7322.8228</v>
      </c>
      <c r="J15" s="5">
        <v>31300</v>
      </c>
      <c r="K15" s="5">
        <f t="shared" si="3"/>
        <v>7322.8228</v>
      </c>
      <c r="L15" s="12">
        <f t="shared" si="4"/>
        <v>1</v>
      </c>
    </row>
    <row r="16" spans="1:12" ht="12.75">
      <c r="A16" s="11">
        <v>1479</v>
      </c>
      <c r="B16" s="5">
        <v>24400</v>
      </c>
      <c r="C16" s="5">
        <f t="shared" si="0"/>
        <v>5708.5264</v>
      </c>
      <c r="H16" s="5">
        <f t="shared" si="1"/>
        <v>24400</v>
      </c>
      <c r="I16" s="5">
        <f t="shared" si="2"/>
        <v>5708.5264</v>
      </c>
      <c r="J16" s="5">
        <v>24400</v>
      </c>
      <c r="K16" s="5">
        <f t="shared" si="3"/>
        <v>5708.5264</v>
      </c>
      <c r="L16" s="12">
        <f t="shared" si="4"/>
        <v>1</v>
      </c>
    </row>
    <row r="17" spans="1:12" ht="12.75">
      <c r="A17" s="11">
        <v>1480</v>
      </c>
      <c r="B17" s="5">
        <v>49200</v>
      </c>
      <c r="C17" s="5">
        <f t="shared" si="0"/>
        <v>11510.6352</v>
      </c>
      <c r="H17" s="5">
        <f t="shared" si="1"/>
        <v>49200</v>
      </c>
      <c r="I17" s="5">
        <f t="shared" si="2"/>
        <v>11510.6352</v>
      </c>
      <c r="J17" s="5">
        <v>49200</v>
      </c>
      <c r="K17" s="5">
        <f t="shared" si="3"/>
        <v>11510.6352</v>
      </c>
      <c r="L17" s="12">
        <f t="shared" si="4"/>
        <v>1</v>
      </c>
    </row>
    <row r="18" spans="1:12" ht="12.75">
      <c r="A18" s="11">
        <v>1481</v>
      </c>
      <c r="B18" s="5">
        <v>10400</v>
      </c>
      <c r="C18" s="5">
        <f t="shared" si="0"/>
        <v>2433.1424</v>
      </c>
      <c r="H18" s="5">
        <f t="shared" si="1"/>
        <v>10400</v>
      </c>
      <c r="I18" s="5">
        <f t="shared" si="2"/>
        <v>2433.1424</v>
      </c>
      <c r="J18" s="5">
        <v>10400</v>
      </c>
      <c r="K18" s="5">
        <f t="shared" si="3"/>
        <v>2433.1424</v>
      </c>
      <c r="L18" s="12">
        <f t="shared" si="4"/>
        <v>1</v>
      </c>
    </row>
    <row r="19" spans="1:12" ht="12.75">
      <c r="A19" s="11">
        <v>1482</v>
      </c>
      <c r="B19" s="5">
        <v>15200</v>
      </c>
      <c r="C19" s="5">
        <f t="shared" si="0"/>
        <v>3556.1312</v>
      </c>
      <c r="H19" s="5">
        <f t="shared" si="1"/>
        <v>15200</v>
      </c>
      <c r="I19" s="5">
        <f t="shared" si="2"/>
        <v>3556.1312</v>
      </c>
      <c r="J19" s="5">
        <v>20000</v>
      </c>
      <c r="K19" s="5">
        <f t="shared" si="3"/>
        <v>4679.12</v>
      </c>
      <c r="L19" s="12">
        <f t="shared" si="4"/>
        <v>0.76</v>
      </c>
    </row>
    <row r="20" spans="1:12" ht="12.75">
      <c r="A20" s="11">
        <v>1483</v>
      </c>
      <c r="B20" s="5">
        <v>12000</v>
      </c>
      <c r="C20" s="5">
        <f t="shared" si="0"/>
        <v>2807.4719999999998</v>
      </c>
      <c r="H20" s="5">
        <f t="shared" si="1"/>
        <v>12000</v>
      </c>
      <c r="I20" s="5">
        <f t="shared" si="2"/>
        <v>2807.4719999999998</v>
      </c>
      <c r="J20" s="5">
        <v>15600</v>
      </c>
      <c r="K20" s="5">
        <f t="shared" si="3"/>
        <v>3649.7136</v>
      </c>
      <c r="L20" s="12">
        <f t="shared" si="4"/>
        <v>0.7692307692307693</v>
      </c>
    </row>
    <row r="21" spans="1:12" ht="12.75">
      <c r="A21" s="11">
        <v>1484</v>
      </c>
      <c r="B21" s="5">
        <v>28000</v>
      </c>
      <c r="C21" s="5">
        <f t="shared" si="0"/>
        <v>6550.768</v>
      </c>
      <c r="H21" s="5">
        <f t="shared" si="1"/>
        <v>28000</v>
      </c>
      <c r="I21" s="5">
        <f t="shared" si="2"/>
        <v>6550.768</v>
      </c>
      <c r="J21" s="5">
        <v>28000</v>
      </c>
      <c r="K21" s="5">
        <f t="shared" si="3"/>
        <v>6550.768</v>
      </c>
      <c r="L21" s="12">
        <f t="shared" si="4"/>
        <v>1</v>
      </c>
    </row>
    <row r="22" spans="1:12" ht="12.75">
      <c r="A22" s="11">
        <v>1485</v>
      </c>
      <c r="B22" s="5">
        <v>6000</v>
      </c>
      <c r="C22" s="5">
        <f t="shared" si="0"/>
        <v>1403.7359999999999</v>
      </c>
      <c r="H22" s="5">
        <f t="shared" si="1"/>
        <v>6000</v>
      </c>
      <c r="I22" s="5">
        <f t="shared" si="2"/>
        <v>1403.7359999999999</v>
      </c>
      <c r="J22" s="5">
        <v>6000</v>
      </c>
      <c r="K22" s="5">
        <f t="shared" si="3"/>
        <v>1403.7359999999999</v>
      </c>
      <c r="L22" s="12">
        <f t="shared" si="4"/>
        <v>1</v>
      </c>
    </row>
    <row r="23" spans="1:12" ht="12.75">
      <c r="A23" s="11">
        <v>1486</v>
      </c>
      <c r="B23" s="5">
        <v>13200</v>
      </c>
      <c r="C23" s="5">
        <f t="shared" si="0"/>
        <v>3088.2192</v>
      </c>
      <c r="H23" s="5">
        <f t="shared" si="1"/>
        <v>13200</v>
      </c>
      <c r="I23" s="5">
        <f t="shared" si="2"/>
        <v>3088.2192</v>
      </c>
      <c r="J23" s="5">
        <v>14800</v>
      </c>
      <c r="K23" s="5">
        <f t="shared" si="3"/>
        <v>3462.5488</v>
      </c>
      <c r="L23" s="12">
        <f t="shared" si="4"/>
        <v>0.8918918918918919</v>
      </c>
    </row>
    <row r="24" spans="1:12" ht="12.75">
      <c r="A24" s="11">
        <v>1487</v>
      </c>
      <c r="B24" s="5">
        <v>8400</v>
      </c>
      <c r="C24" s="5">
        <f t="shared" si="0"/>
        <v>1965.2304</v>
      </c>
      <c r="H24" s="5">
        <f t="shared" si="1"/>
        <v>8400</v>
      </c>
      <c r="I24" s="5">
        <f t="shared" si="2"/>
        <v>1965.2304</v>
      </c>
      <c r="J24" s="5">
        <v>14800</v>
      </c>
      <c r="K24" s="5">
        <f t="shared" si="3"/>
        <v>3462.5488</v>
      </c>
      <c r="L24" s="12">
        <f t="shared" si="4"/>
        <v>0.5675675675675675</v>
      </c>
    </row>
    <row r="25" spans="1:12" ht="12.75">
      <c r="A25" s="11">
        <v>1488</v>
      </c>
      <c r="B25" s="5">
        <v>8800</v>
      </c>
      <c r="C25" s="5">
        <f t="shared" si="0"/>
        <v>2058.8128</v>
      </c>
      <c r="H25" s="5">
        <f t="shared" si="1"/>
        <v>8800</v>
      </c>
      <c r="I25" s="5">
        <f t="shared" si="2"/>
        <v>2058.8128</v>
      </c>
      <c r="J25" s="5">
        <v>12800</v>
      </c>
      <c r="K25" s="5">
        <f t="shared" si="3"/>
        <v>2994.6367999999998</v>
      </c>
      <c r="L25" s="12">
        <f t="shared" si="4"/>
        <v>0.6875</v>
      </c>
    </row>
    <row r="26" spans="1:12" ht="12.75">
      <c r="A26" s="11">
        <v>1489</v>
      </c>
      <c r="B26" s="5">
        <v>3600</v>
      </c>
      <c r="C26" s="5">
        <f t="shared" si="0"/>
        <v>842.2416</v>
      </c>
      <c r="H26" s="5">
        <f t="shared" si="1"/>
        <v>3600</v>
      </c>
      <c r="I26" s="5">
        <f t="shared" si="2"/>
        <v>842.2416</v>
      </c>
      <c r="J26" s="5">
        <v>7200</v>
      </c>
      <c r="K26" s="5">
        <f t="shared" si="3"/>
        <v>1684.4832</v>
      </c>
      <c r="L26" s="12">
        <f t="shared" si="4"/>
        <v>0.5</v>
      </c>
    </row>
    <row r="27" spans="1:12" ht="12.75">
      <c r="A27" s="11">
        <v>1490</v>
      </c>
      <c r="B27" s="5">
        <v>8400</v>
      </c>
      <c r="C27" s="5">
        <f t="shared" si="0"/>
        <v>1965.2304</v>
      </c>
      <c r="H27" s="5">
        <f t="shared" si="1"/>
        <v>8400</v>
      </c>
      <c r="I27" s="5">
        <f t="shared" si="2"/>
        <v>1965.2304</v>
      </c>
      <c r="J27" s="5">
        <v>9600</v>
      </c>
      <c r="K27" s="5">
        <f t="shared" si="3"/>
        <v>2245.9776</v>
      </c>
      <c r="L27" s="12">
        <f t="shared" si="4"/>
        <v>0.875</v>
      </c>
    </row>
    <row r="28" spans="1:12" ht="12.75">
      <c r="A28" s="11">
        <v>1491</v>
      </c>
      <c r="B28" s="5">
        <v>13600</v>
      </c>
      <c r="C28" s="5">
        <f t="shared" si="0"/>
        <v>3181.8016</v>
      </c>
      <c r="H28" s="5">
        <f t="shared" si="1"/>
        <v>13600</v>
      </c>
      <c r="I28" s="5">
        <f t="shared" si="2"/>
        <v>3181.8016</v>
      </c>
      <c r="J28" s="5">
        <v>17200</v>
      </c>
      <c r="K28" s="5">
        <f t="shared" si="3"/>
        <v>4024.0432</v>
      </c>
      <c r="L28" s="12">
        <f t="shared" si="4"/>
        <v>0.7906976744186046</v>
      </c>
    </row>
    <row r="29" spans="1:12" ht="12.75">
      <c r="A29" s="11">
        <v>1492</v>
      </c>
      <c r="B29" s="5">
        <v>10800</v>
      </c>
      <c r="C29" s="5">
        <f t="shared" si="0"/>
        <v>2526.7248</v>
      </c>
      <c r="D29" s="5">
        <v>800</v>
      </c>
      <c r="E29" s="5">
        <f aca="true" t="shared" si="5" ref="E29:E60">D29*0.233956</f>
        <v>187.16479999999999</v>
      </c>
      <c r="H29" s="5">
        <f t="shared" si="1"/>
        <v>11600</v>
      </c>
      <c r="I29" s="5">
        <f t="shared" si="2"/>
        <v>2713.8896</v>
      </c>
      <c r="J29" s="5">
        <v>14100</v>
      </c>
      <c r="K29" s="5">
        <f t="shared" si="3"/>
        <v>3298.7796</v>
      </c>
      <c r="L29" s="12">
        <f t="shared" si="4"/>
        <v>0.8226950354609929</v>
      </c>
    </row>
    <row r="30" spans="1:12" ht="12.75">
      <c r="A30" s="11">
        <v>1493</v>
      </c>
      <c r="B30" s="5">
        <v>8800</v>
      </c>
      <c r="C30" s="5">
        <f t="shared" si="0"/>
        <v>2058.8128</v>
      </c>
      <c r="D30" s="5">
        <v>400</v>
      </c>
      <c r="E30" s="5">
        <f t="shared" si="5"/>
        <v>93.58239999999999</v>
      </c>
      <c r="H30" s="5">
        <f t="shared" si="1"/>
        <v>9200</v>
      </c>
      <c r="I30" s="5">
        <f t="shared" si="2"/>
        <v>2152.3952</v>
      </c>
      <c r="J30" s="5">
        <v>14000</v>
      </c>
      <c r="K30" s="5">
        <f t="shared" si="3"/>
        <v>3275.384</v>
      </c>
      <c r="L30" s="12">
        <f t="shared" si="4"/>
        <v>0.6571428571428571</v>
      </c>
    </row>
    <row r="31" spans="1:24" ht="12.75">
      <c r="A31" s="11">
        <v>1494</v>
      </c>
      <c r="B31" s="5">
        <v>9200</v>
      </c>
      <c r="C31" s="5">
        <f t="shared" si="0"/>
        <v>2152.3952</v>
      </c>
      <c r="D31" s="5">
        <v>900</v>
      </c>
      <c r="E31" s="5">
        <f t="shared" si="5"/>
        <v>210.5604</v>
      </c>
      <c r="H31" s="5">
        <f t="shared" si="1"/>
        <v>10100</v>
      </c>
      <c r="I31" s="5">
        <f t="shared" si="2"/>
        <v>2362.9556</v>
      </c>
      <c r="J31" s="5">
        <v>14200</v>
      </c>
      <c r="K31" s="5">
        <f t="shared" si="3"/>
        <v>3322.1752</v>
      </c>
      <c r="L31" s="12">
        <f t="shared" si="4"/>
        <v>0.7112676056338029</v>
      </c>
      <c r="V31" s="9">
        <v>7439</v>
      </c>
      <c r="W31" s="2">
        <f aca="true" t="shared" si="6" ref="W31:W62">V31/3.80098434839402</f>
        <v>1957.1246072463052</v>
      </c>
      <c r="X31" s="2">
        <v>3.800984348394019</v>
      </c>
    </row>
    <row r="32" spans="1:23" ht="12.75">
      <c r="A32" s="11">
        <v>1495</v>
      </c>
      <c r="B32" s="5">
        <v>15500</v>
      </c>
      <c r="C32" s="5">
        <f t="shared" si="0"/>
        <v>3626.3179999999998</v>
      </c>
      <c r="D32" s="5">
        <v>2600</v>
      </c>
      <c r="E32" s="5">
        <f t="shared" si="5"/>
        <v>608.2856</v>
      </c>
      <c r="H32" s="5">
        <f t="shared" si="1"/>
        <v>18100</v>
      </c>
      <c r="I32" s="5">
        <f t="shared" si="2"/>
        <v>4234.6036</v>
      </c>
      <c r="J32" s="5">
        <v>20800</v>
      </c>
      <c r="K32" s="5">
        <f t="shared" si="3"/>
        <v>4866.2848</v>
      </c>
      <c r="L32" s="12">
        <f t="shared" si="4"/>
        <v>0.8701923076923077</v>
      </c>
      <c r="V32" s="9">
        <v>7439</v>
      </c>
      <c r="W32" s="2">
        <f t="shared" si="6"/>
        <v>1957.1246072463052</v>
      </c>
    </row>
    <row r="33" spans="1:23" ht="12.75">
      <c r="A33" s="11">
        <v>1496</v>
      </c>
      <c r="B33" s="5">
        <v>9200</v>
      </c>
      <c r="C33" s="5">
        <f t="shared" si="0"/>
        <v>2152.3952</v>
      </c>
      <c r="D33" s="5">
        <v>2300</v>
      </c>
      <c r="E33" s="5">
        <f t="shared" si="5"/>
        <v>538.0988</v>
      </c>
      <c r="H33" s="5">
        <f t="shared" si="1"/>
        <v>11500</v>
      </c>
      <c r="I33" s="5">
        <f t="shared" si="2"/>
        <v>2690.494</v>
      </c>
      <c r="J33" s="5">
        <v>15600</v>
      </c>
      <c r="K33" s="5">
        <f t="shared" si="3"/>
        <v>3649.7136</v>
      </c>
      <c r="L33" s="12">
        <f t="shared" si="4"/>
        <v>0.7371794871794872</v>
      </c>
      <c r="V33" s="9">
        <v>7439</v>
      </c>
      <c r="W33" s="2">
        <f t="shared" si="6"/>
        <v>1957.1246072463052</v>
      </c>
    </row>
    <row r="34" spans="1:23" ht="12.75">
      <c r="A34" s="11">
        <v>1497</v>
      </c>
      <c r="B34" s="5">
        <v>6200</v>
      </c>
      <c r="C34" s="5">
        <f t="shared" si="0"/>
        <v>1450.5272</v>
      </c>
      <c r="D34" s="5">
        <v>9600</v>
      </c>
      <c r="E34" s="5">
        <f t="shared" si="5"/>
        <v>2245.9776</v>
      </c>
      <c r="H34" s="5">
        <f t="shared" si="1"/>
        <v>15800</v>
      </c>
      <c r="I34" s="5">
        <f t="shared" si="2"/>
        <v>3696.5048</v>
      </c>
      <c r="J34" s="5">
        <v>18000</v>
      </c>
      <c r="K34" s="5">
        <f t="shared" si="3"/>
        <v>4211.208</v>
      </c>
      <c r="L34" s="12">
        <f t="shared" si="4"/>
        <v>0.8777777777777778</v>
      </c>
      <c r="V34" s="9">
        <v>7439</v>
      </c>
      <c r="W34" s="2">
        <f t="shared" si="6"/>
        <v>1957.1246072463052</v>
      </c>
    </row>
    <row r="35" spans="1:23" ht="12.75">
      <c r="A35" s="11">
        <v>1498</v>
      </c>
      <c r="B35" s="5">
        <v>7200</v>
      </c>
      <c r="C35" s="5">
        <f t="shared" si="0"/>
        <v>1684.4832</v>
      </c>
      <c r="D35" s="5">
        <v>12000</v>
      </c>
      <c r="E35" s="5">
        <f t="shared" si="5"/>
        <v>2807.4719999999998</v>
      </c>
      <c r="H35" s="5">
        <f t="shared" si="1"/>
        <v>19200</v>
      </c>
      <c r="I35" s="5">
        <f t="shared" si="2"/>
        <v>4491.9552</v>
      </c>
      <c r="J35" s="5">
        <v>19600</v>
      </c>
      <c r="K35" s="5">
        <f t="shared" si="3"/>
        <v>4585.5376</v>
      </c>
      <c r="L35" s="12">
        <f t="shared" si="4"/>
        <v>0.9795918367346939</v>
      </c>
      <c r="V35" s="9">
        <v>7439</v>
      </c>
      <c r="W35" s="2">
        <f t="shared" si="6"/>
        <v>1957.1246072463052</v>
      </c>
    </row>
    <row r="36" spans="1:23" ht="12.75">
      <c r="A36" s="11">
        <v>1499</v>
      </c>
      <c r="B36" s="5">
        <v>7600</v>
      </c>
      <c r="C36" s="5">
        <f t="shared" si="0"/>
        <v>1778.0656</v>
      </c>
      <c r="D36" s="5">
        <v>13300</v>
      </c>
      <c r="E36" s="5">
        <f t="shared" si="5"/>
        <v>3111.6148</v>
      </c>
      <c r="H36" s="5">
        <f t="shared" si="1"/>
        <v>20900</v>
      </c>
      <c r="I36" s="5">
        <f t="shared" si="2"/>
        <v>4889.6804</v>
      </c>
      <c r="J36" s="5">
        <v>25200</v>
      </c>
      <c r="K36" s="5">
        <f t="shared" si="3"/>
        <v>5895.6912</v>
      </c>
      <c r="L36" s="12">
        <f t="shared" si="4"/>
        <v>0.8293650793650794</v>
      </c>
      <c r="V36" s="9">
        <v>7439</v>
      </c>
      <c r="W36" s="2">
        <f t="shared" si="6"/>
        <v>1957.1246072463052</v>
      </c>
    </row>
    <row r="37" spans="1:23" ht="12.75">
      <c r="A37" s="11">
        <v>1500</v>
      </c>
      <c r="B37" s="5">
        <v>4400</v>
      </c>
      <c r="C37" s="5">
        <f t="shared" si="0"/>
        <v>1029.4064</v>
      </c>
      <c r="D37" s="5">
        <v>12400</v>
      </c>
      <c r="E37" s="5">
        <f t="shared" si="5"/>
        <v>2901.0544</v>
      </c>
      <c r="H37" s="5">
        <f t="shared" si="1"/>
        <v>16800</v>
      </c>
      <c r="I37" s="5">
        <f t="shared" si="2"/>
        <v>3930.4608</v>
      </c>
      <c r="J37" s="5">
        <v>20800</v>
      </c>
      <c r="K37" s="5">
        <f t="shared" si="3"/>
        <v>4866.2848</v>
      </c>
      <c r="L37" s="12">
        <f t="shared" si="4"/>
        <v>0.8076923076923077</v>
      </c>
      <c r="V37" s="9">
        <v>7439</v>
      </c>
      <c r="W37" s="2">
        <f t="shared" si="6"/>
        <v>1957.1246072463052</v>
      </c>
    </row>
    <row r="38" spans="1:23" ht="12.75">
      <c r="A38" s="11">
        <v>1501</v>
      </c>
      <c r="B38" s="5">
        <v>6400</v>
      </c>
      <c r="C38" s="5">
        <f t="shared" si="0"/>
        <v>1497.3183999999999</v>
      </c>
      <c r="D38" s="5">
        <v>26700</v>
      </c>
      <c r="E38" s="5">
        <f t="shared" si="5"/>
        <v>6246.6251999999995</v>
      </c>
      <c r="H38" s="5">
        <f t="shared" si="1"/>
        <v>33100</v>
      </c>
      <c r="I38" s="5">
        <f t="shared" si="2"/>
        <v>7743.9436</v>
      </c>
      <c r="J38" s="5">
        <v>35300</v>
      </c>
      <c r="K38" s="5">
        <f t="shared" si="3"/>
        <v>8258.6468</v>
      </c>
      <c r="L38" s="12">
        <f t="shared" si="4"/>
        <v>0.9376770538243626</v>
      </c>
      <c r="V38" s="9">
        <v>7439</v>
      </c>
      <c r="W38" s="2">
        <f t="shared" si="6"/>
        <v>1957.1246072463052</v>
      </c>
    </row>
    <row r="39" spans="1:23" ht="12.75">
      <c r="A39" s="11">
        <v>1502</v>
      </c>
      <c r="B39" s="5">
        <v>8400</v>
      </c>
      <c r="C39" s="5">
        <f t="shared" si="0"/>
        <v>1965.2304</v>
      </c>
      <c r="D39" s="5">
        <v>25200</v>
      </c>
      <c r="E39" s="5">
        <f t="shared" si="5"/>
        <v>5895.6912</v>
      </c>
      <c r="H39" s="5">
        <f t="shared" si="1"/>
        <v>33600</v>
      </c>
      <c r="I39" s="5">
        <f t="shared" si="2"/>
        <v>7860.9216</v>
      </c>
      <c r="J39" s="5">
        <v>38200</v>
      </c>
      <c r="K39" s="5">
        <f t="shared" si="3"/>
        <v>8937.1192</v>
      </c>
      <c r="L39" s="12">
        <f t="shared" si="4"/>
        <v>0.8795811518324608</v>
      </c>
      <c r="V39" s="9">
        <v>7439</v>
      </c>
      <c r="W39" s="2">
        <f t="shared" si="6"/>
        <v>1957.1246072463052</v>
      </c>
    </row>
    <row r="40" spans="1:23" ht="12.75">
      <c r="A40" s="11">
        <v>1503</v>
      </c>
      <c r="B40" s="5">
        <v>6800</v>
      </c>
      <c r="C40" s="5">
        <f aca="true" t="shared" si="7" ref="C40:C71">B40*0.233956</f>
        <v>1590.9008</v>
      </c>
      <c r="D40" s="5">
        <v>27500</v>
      </c>
      <c r="E40" s="5">
        <f t="shared" si="5"/>
        <v>6433.79</v>
      </c>
      <c r="H40" s="5">
        <f aca="true" t="shared" si="8" ref="H40:H71">B40+D40+F40</f>
        <v>34300</v>
      </c>
      <c r="I40" s="5">
        <f aca="true" t="shared" si="9" ref="I40:I71">H40*0.233956</f>
        <v>8024.6908</v>
      </c>
      <c r="J40" s="5">
        <v>38800</v>
      </c>
      <c r="K40" s="5">
        <f aca="true" t="shared" si="10" ref="K40:K71">J40*0.233956</f>
        <v>9077.4928</v>
      </c>
      <c r="L40" s="12">
        <f aca="true" t="shared" si="11" ref="L40:L71">H40/J40</f>
        <v>0.884020618556701</v>
      </c>
      <c r="V40" s="9">
        <v>7439</v>
      </c>
      <c r="W40" s="2">
        <f t="shared" si="6"/>
        <v>1957.1246072463052</v>
      </c>
    </row>
    <row r="41" spans="1:23" ht="12.75">
      <c r="A41" s="11">
        <v>1504</v>
      </c>
      <c r="B41" s="5">
        <v>9800</v>
      </c>
      <c r="C41" s="5">
        <f t="shared" si="7"/>
        <v>2292.7688</v>
      </c>
      <c r="D41" s="5">
        <v>23200</v>
      </c>
      <c r="E41" s="5">
        <f t="shared" si="5"/>
        <v>5427.7792</v>
      </c>
      <c r="H41" s="5">
        <f t="shared" si="8"/>
        <v>33000</v>
      </c>
      <c r="I41" s="5">
        <f t="shared" si="9"/>
        <v>7720.548</v>
      </c>
      <c r="J41" s="5">
        <v>40000</v>
      </c>
      <c r="K41" s="5">
        <f t="shared" si="10"/>
        <v>9358.24</v>
      </c>
      <c r="L41" s="12">
        <f t="shared" si="11"/>
        <v>0.825</v>
      </c>
      <c r="V41" s="9">
        <v>16118</v>
      </c>
      <c r="W41" s="2">
        <f t="shared" si="6"/>
        <v>4240.4804973243645</v>
      </c>
    </row>
    <row r="42" spans="1:23" ht="12.75">
      <c r="A42" s="11">
        <v>1505</v>
      </c>
      <c r="B42" s="5">
        <v>9200</v>
      </c>
      <c r="C42" s="5">
        <f t="shared" si="7"/>
        <v>2152.3952</v>
      </c>
      <c r="D42" s="5">
        <v>22400</v>
      </c>
      <c r="E42" s="5">
        <f t="shared" si="5"/>
        <v>5240.6144</v>
      </c>
      <c r="H42" s="5">
        <f t="shared" si="8"/>
        <v>31600</v>
      </c>
      <c r="I42" s="5">
        <f t="shared" si="9"/>
        <v>7393.0096</v>
      </c>
      <c r="J42" s="5">
        <v>39600</v>
      </c>
      <c r="K42" s="5">
        <f t="shared" si="10"/>
        <v>9264.6576</v>
      </c>
      <c r="L42" s="12">
        <f t="shared" si="11"/>
        <v>0.797979797979798</v>
      </c>
      <c r="V42" s="9">
        <v>16118</v>
      </c>
      <c r="W42" s="2">
        <f t="shared" si="6"/>
        <v>4240.4804973243645</v>
      </c>
    </row>
    <row r="43" spans="1:23" ht="12.75">
      <c r="A43" s="11">
        <v>1506</v>
      </c>
      <c r="B43" s="5">
        <v>7200</v>
      </c>
      <c r="C43" s="5">
        <f t="shared" si="7"/>
        <v>1684.4832</v>
      </c>
      <c r="D43" s="5">
        <v>20800</v>
      </c>
      <c r="E43" s="5">
        <f t="shared" si="5"/>
        <v>4866.2848</v>
      </c>
      <c r="H43" s="5">
        <f t="shared" si="8"/>
        <v>28000</v>
      </c>
      <c r="I43" s="5">
        <f t="shared" si="9"/>
        <v>6550.768</v>
      </c>
      <c r="J43" s="5">
        <v>32400</v>
      </c>
      <c r="K43" s="5">
        <f t="shared" si="10"/>
        <v>7580.1744</v>
      </c>
      <c r="L43" s="12">
        <f t="shared" si="11"/>
        <v>0.8641975308641975</v>
      </c>
      <c r="M43" s="5">
        <v>300.4</v>
      </c>
      <c r="N43" s="5">
        <f>M43*0.233956</f>
        <v>70.2803824</v>
      </c>
      <c r="O43" s="5">
        <v>18396.9</v>
      </c>
      <c r="P43" s="5">
        <f>O43*0.233956</f>
        <v>4304.0651364000005</v>
      </c>
      <c r="Q43" s="5">
        <f aca="true" t="shared" si="12" ref="Q43:Q87">R43/0.233956</f>
        <v>18697.300000000003</v>
      </c>
      <c r="R43" s="5">
        <v>4374.345518800001</v>
      </c>
      <c r="V43" s="9">
        <v>16118</v>
      </c>
      <c r="W43" s="2">
        <f t="shared" si="6"/>
        <v>4240.4804973243645</v>
      </c>
    </row>
    <row r="44" spans="1:23" ht="12.75">
      <c r="A44" s="11">
        <v>1507</v>
      </c>
      <c r="B44" s="5">
        <v>7100</v>
      </c>
      <c r="C44" s="5">
        <f t="shared" si="7"/>
        <v>1661.0876</v>
      </c>
      <c r="D44" s="5">
        <v>19000</v>
      </c>
      <c r="E44" s="5">
        <f t="shared" si="5"/>
        <v>4445.164</v>
      </c>
      <c r="H44" s="5">
        <f t="shared" si="8"/>
        <v>26100</v>
      </c>
      <c r="I44" s="5">
        <f t="shared" si="9"/>
        <v>6106.2516</v>
      </c>
      <c r="J44" s="5">
        <v>32500</v>
      </c>
      <c r="K44" s="5">
        <f t="shared" si="10"/>
        <v>7603.57</v>
      </c>
      <c r="L44" s="12">
        <f t="shared" si="11"/>
        <v>0.803076923076923</v>
      </c>
      <c r="Q44" s="5">
        <f t="shared" si="12"/>
        <v>19656.750000000004</v>
      </c>
      <c r="R44" s="5">
        <v>4598.814603000001</v>
      </c>
      <c r="V44" s="9">
        <v>14148</v>
      </c>
      <c r="W44" s="2">
        <f t="shared" si="6"/>
        <v>3722.1937012126264</v>
      </c>
    </row>
    <row r="45" spans="1:23" ht="12.75">
      <c r="A45" s="11">
        <v>1508</v>
      </c>
      <c r="B45" s="5">
        <v>5000</v>
      </c>
      <c r="C45" s="5">
        <f t="shared" si="7"/>
        <v>1169.78</v>
      </c>
      <c r="D45" s="5">
        <v>18400</v>
      </c>
      <c r="E45" s="5">
        <f t="shared" si="5"/>
        <v>4304.7904</v>
      </c>
      <c r="H45" s="5">
        <f t="shared" si="8"/>
        <v>23400</v>
      </c>
      <c r="I45" s="5">
        <f t="shared" si="9"/>
        <v>5474.5704</v>
      </c>
      <c r="J45" s="5">
        <v>27600</v>
      </c>
      <c r="K45" s="5">
        <f t="shared" si="10"/>
        <v>6457.1856</v>
      </c>
      <c r="L45" s="12">
        <f t="shared" si="11"/>
        <v>0.8478260869565217</v>
      </c>
      <c r="M45" s="5">
        <v>323.3</v>
      </c>
      <c r="N45" s="5">
        <f>M45*0.233956</f>
        <v>75.6379748</v>
      </c>
      <c r="O45" s="5">
        <v>20292.9</v>
      </c>
      <c r="P45" s="5">
        <f>O45*0.233956</f>
        <v>4747.6457124</v>
      </c>
      <c r="Q45" s="5">
        <f t="shared" si="12"/>
        <v>20616.2</v>
      </c>
      <c r="R45" s="5">
        <v>4823.2836872</v>
      </c>
      <c r="V45" s="9">
        <v>14148</v>
      </c>
      <c r="W45" s="2">
        <f t="shared" si="6"/>
        <v>3722.1937012126264</v>
      </c>
    </row>
    <row r="46" spans="1:23" ht="12.75">
      <c r="A46" s="11">
        <v>1509</v>
      </c>
      <c r="B46" s="5">
        <v>6500</v>
      </c>
      <c r="C46" s="5">
        <f t="shared" si="7"/>
        <v>1520.714</v>
      </c>
      <c r="D46" s="5">
        <v>20400</v>
      </c>
      <c r="E46" s="5">
        <f t="shared" si="5"/>
        <v>4772.7024</v>
      </c>
      <c r="H46" s="5">
        <f t="shared" si="8"/>
        <v>26900</v>
      </c>
      <c r="I46" s="5">
        <f t="shared" si="9"/>
        <v>6293.4164</v>
      </c>
      <c r="J46" s="5">
        <v>33000</v>
      </c>
      <c r="K46" s="5">
        <f t="shared" si="10"/>
        <v>7720.548</v>
      </c>
      <c r="L46" s="12">
        <f t="shared" si="11"/>
        <v>0.8151515151515152</v>
      </c>
      <c r="M46" s="5">
        <v>298</v>
      </c>
      <c r="N46" s="5">
        <f>M46*0.233956</f>
        <v>69.71888799999999</v>
      </c>
      <c r="O46" s="5">
        <v>18280.1</v>
      </c>
      <c r="P46" s="5">
        <f>O46*0.233956</f>
        <v>4276.7390755999995</v>
      </c>
      <c r="Q46" s="5">
        <f t="shared" si="12"/>
        <v>18578.1</v>
      </c>
      <c r="R46" s="5">
        <v>4346.4579636</v>
      </c>
      <c r="V46" s="9">
        <v>14148</v>
      </c>
      <c r="W46" s="2">
        <f t="shared" si="6"/>
        <v>3722.1937012126264</v>
      </c>
    </row>
    <row r="47" spans="1:23" ht="12.75">
      <c r="A47" s="11">
        <v>1510</v>
      </c>
      <c r="B47" s="5">
        <v>5200</v>
      </c>
      <c r="C47" s="5">
        <f t="shared" si="7"/>
        <v>1216.5712</v>
      </c>
      <c r="D47" s="5">
        <v>20800</v>
      </c>
      <c r="E47" s="5">
        <f t="shared" si="5"/>
        <v>4866.2848</v>
      </c>
      <c r="H47" s="5">
        <f t="shared" si="8"/>
        <v>26000</v>
      </c>
      <c r="I47" s="5">
        <f t="shared" si="9"/>
        <v>6082.856</v>
      </c>
      <c r="J47" s="5">
        <v>33000</v>
      </c>
      <c r="K47" s="5">
        <f t="shared" si="10"/>
        <v>7720.548</v>
      </c>
      <c r="L47" s="12">
        <f t="shared" si="11"/>
        <v>0.7878787878787878</v>
      </c>
      <c r="Q47" s="5">
        <f t="shared" si="12"/>
        <v>21320.449999999997</v>
      </c>
      <c r="R47" s="5">
        <v>4988.0472002</v>
      </c>
      <c r="V47" s="9">
        <v>17282</v>
      </c>
      <c r="W47" s="2">
        <f t="shared" si="6"/>
        <v>4546.716959595463</v>
      </c>
    </row>
    <row r="48" spans="1:23" ht="12.75">
      <c r="A48" s="11">
        <v>1511</v>
      </c>
      <c r="B48" s="5">
        <v>7000</v>
      </c>
      <c r="C48" s="5">
        <f t="shared" si="7"/>
        <v>1637.692</v>
      </c>
      <c r="D48" s="5">
        <v>17400</v>
      </c>
      <c r="E48" s="5">
        <f t="shared" si="5"/>
        <v>4070.8343999999997</v>
      </c>
      <c r="H48" s="5">
        <f t="shared" si="8"/>
        <v>24400</v>
      </c>
      <c r="I48" s="5">
        <f t="shared" si="9"/>
        <v>5708.5264</v>
      </c>
      <c r="J48" s="5">
        <v>29200</v>
      </c>
      <c r="K48" s="5">
        <f t="shared" si="10"/>
        <v>6831.5152</v>
      </c>
      <c r="L48" s="12">
        <f t="shared" si="11"/>
        <v>0.8356164383561644</v>
      </c>
      <c r="Q48" s="5">
        <f t="shared" si="12"/>
        <v>22691.625</v>
      </c>
      <c r="R48" s="5">
        <v>5308.8418185</v>
      </c>
      <c r="V48" s="9">
        <v>17282</v>
      </c>
      <c r="W48" s="2">
        <f t="shared" si="6"/>
        <v>4546.716959595463</v>
      </c>
    </row>
    <row r="49" spans="1:23" ht="12.75">
      <c r="A49" s="11">
        <v>1512</v>
      </c>
      <c r="B49" s="5">
        <v>12800</v>
      </c>
      <c r="C49" s="5">
        <f t="shared" si="7"/>
        <v>2994.6367999999998</v>
      </c>
      <c r="D49" s="5">
        <v>17200</v>
      </c>
      <c r="E49" s="5">
        <f t="shared" si="5"/>
        <v>4024.0432</v>
      </c>
      <c r="H49" s="5">
        <f t="shared" si="8"/>
        <v>30000</v>
      </c>
      <c r="I49" s="5">
        <f t="shared" si="9"/>
        <v>7018.68</v>
      </c>
      <c r="J49" s="5">
        <v>33600</v>
      </c>
      <c r="K49" s="5">
        <f t="shared" si="10"/>
        <v>7860.9216</v>
      </c>
      <c r="L49" s="12">
        <f t="shared" si="11"/>
        <v>0.8928571428571429</v>
      </c>
      <c r="M49" s="5">
        <v>789.4</v>
      </c>
      <c r="N49" s="5">
        <f>M49*0.233956</f>
        <v>184.6848664</v>
      </c>
      <c r="O49" s="5">
        <v>23273.4</v>
      </c>
      <c r="P49" s="5">
        <f>O49*0.233956</f>
        <v>5444.9515704000005</v>
      </c>
      <c r="Q49" s="5">
        <f t="shared" si="12"/>
        <v>24062.800000000003</v>
      </c>
      <c r="R49" s="5">
        <v>5629.6364368</v>
      </c>
      <c r="V49" s="9">
        <v>17282</v>
      </c>
      <c r="W49" s="2">
        <f t="shared" si="6"/>
        <v>4546.716959595463</v>
      </c>
    </row>
    <row r="50" spans="1:23" ht="12.75">
      <c r="A50" s="11">
        <v>1513</v>
      </c>
      <c r="B50" s="5">
        <v>5200</v>
      </c>
      <c r="C50" s="5">
        <f t="shared" si="7"/>
        <v>1216.5712</v>
      </c>
      <c r="D50" s="5">
        <v>29200</v>
      </c>
      <c r="E50" s="5">
        <f t="shared" si="5"/>
        <v>6831.5152</v>
      </c>
      <c r="H50" s="5">
        <f t="shared" si="8"/>
        <v>34400</v>
      </c>
      <c r="I50" s="5">
        <f t="shared" si="9"/>
        <v>8048.0864</v>
      </c>
      <c r="J50" s="5">
        <v>34400</v>
      </c>
      <c r="K50" s="5">
        <f t="shared" si="10"/>
        <v>8048.0864</v>
      </c>
      <c r="L50" s="12">
        <f t="shared" si="11"/>
        <v>1</v>
      </c>
      <c r="M50" s="5">
        <v>827.2</v>
      </c>
      <c r="N50" s="5">
        <f>M50*0.233956</f>
        <v>193.5284032</v>
      </c>
      <c r="O50" s="5">
        <v>24389.6</v>
      </c>
      <c r="P50" s="5">
        <f>O50*0.233956</f>
        <v>5706.0932576</v>
      </c>
      <c r="Q50" s="5">
        <f t="shared" si="12"/>
        <v>25216.8</v>
      </c>
      <c r="R50" s="5">
        <v>5899.6216607999995</v>
      </c>
      <c r="V50" s="9">
        <v>11488</v>
      </c>
      <c r="W50" s="2">
        <f t="shared" si="6"/>
        <v>3022.37498158967</v>
      </c>
    </row>
    <row r="51" spans="1:23" ht="12.75">
      <c r="A51" s="11">
        <v>1514</v>
      </c>
      <c r="B51" s="5">
        <v>4500</v>
      </c>
      <c r="C51" s="5">
        <f t="shared" si="7"/>
        <v>1052.802</v>
      </c>
      <c r="D51" s="5">
        <v>23200</v>
      </c>
      <c r="E51" s="5">
        <f t="shared" si="5"/>
        <v>5427.7792</v>
      </c>
      <c r="H51" s="5">
        <f t="shared" si="8"/>
        <v>27700</v>
      </c>
      <c r="I51" s="5">
        <f t="shared" si="9"/>
        <v>6480.5812</v>
      </c>
      <c r="J51" s="5">
        <v>32000</v>
      </c>
      <c r="K51" s="5">
        <f t="shared" si="10"/>
        <v>7486.592</v>
      </c>
      <c r="L51" s="12">
        <f t="shared" si="11"/>
        <v>0.865625</v>
      </c>
      <c r="M51" s="5">
        <v>800</v>
      </c>
      <c r="N51" s="5">
        <f>M51*0.233956</f>
        <v>187.16479999999999</v>
      </c>
      <c r="O51" s="5">
        <v>24219</v>
      </c>
      <c r="P51" s="5">
        <f>O51*0.233956</f>
        <v>5666.180364</v>
      </c>
      <c r="Q51" s="5">
        <f t="shared" si="12"/>
        <v>25018.999999999996</v>
      </c>
      <c r="R51" s="5">
        <v>5853.345163999999</v>
      </c>
      <c r="V51" s="9">
        <v>11488</v>
      </c>
      <c r="W51" s="2">
        <f t="shared" si="6"/>
        <v>3022.37498158967</v>
      </c>
    </row>
    <row r="52" spans="1:23" ht="12.75">
      <c r="A52" s="11">
        <v>1515</v>
      </c>
      <c r="B52" s="5">
        <v>5200</v>
      </c>
      <c r="C52" s="5">
        <f t="shared" si="7"/>
        <v>1216.5712</v>
      </c>
      <c r="D52" s="5">
        <v>10200</v>
      </c>
      <c r="E52" s="5">
        <f t="shared" si="5"/>
        <v>2386.3512</v>
      </c>
      <c r="H52" s="5">
        <f t="shared" si="8"/>
        <v>15400</v>
      </c>
      <c r="I52" s="5">
        <f t="shared" si="9"/>
        <v>3602.9224</v>
      </c>
      <c r="J52" s="5">
        <v>18800</v>
      </c>
      <c r="K52" s="5">
        <f t="shared" si="10"/>
        <v>4398.3728</v>
      </c>
      <c r="L52" s="12">
        <f t="shared" si="11"/>
        <v>0.8191489361702128</v>
      </c>
      <c r="M52" s="5">
        <v>830</v>
      </c>
      <c r="N52" s="5">
        <f>M52*0.233956</f>
        <v>194.18348</v>
      </c>
      <c r="O52" s="5">
        <v>24284.3</v>
      </c>
      <c r="P52" s="5">
        <f>O52*0.233956</f>
        <v>5681.4576908</v>
      </c>
      <c r="Q52" s="5">
        <f t="shared" si="12"/>
        <v>25114.3</v>
      </c>
      <c r="R52" s="5">
        <v>5875.6411708</v>
      </c>
      <c r="V52" s="9">
        <v>11488</v>
      </c>
      <c r="W52" s="2">
        <f t="shared" si="6"/>
        <v>3022.37498158967</v>
      </c>
    </row>
    <row r="53" spans="1:23" ht="12.75">
      <c r="A53" s="11">
        <v>1516</v>
      </c>
      <c r="B53" s="5">
        <v>5100</v>
      </c>
      <c r="C53" s="5">
        <f t="shared" si="7"/>
        <v>1193.1756</v>
      </c>
      <c r="D53" s="5">
        <v>10400</v>
      </c>
      <c r="E53" s="5">
        <f t="shared" si="5"/>
        <v>2433.1424</v>
      </c>
      <c r="H53" s="5">
        <f t="shared" si="8"/>
        <v>15500</v>
      </c>
      <c r="I53" s="5">
        <f t="shared" si="9"/>
        <v>3626.3179999999998</v>
      </c>
      <c r="J53" s="5">
        <v>16400</v>
      </c>
      <c r="K53" s="5">
        <f t="shared" si="10"/>
        <v>3836.8784</v>
      </c>
      <c r="L53" s="12">
        <f t="shared" si="11"/>
        <v>0.9451219512195121</v>
      </c>
      <c r="Q53" s="5">
        <f t="shared" si="12"/>
        <v>25863.399999999998</v>
      </c>
      <c r="R53" s="5">
        <v>6050.897610399999</v>
      </c>
      <c r="S53" s="5">
        <v>200</v>
      </c>
      <c r="T53" s="5">
        <v>169.43</v>
      </c>
      <c r="U53" s="5">
        <f aca="true" t="shared" si="13" ref="U53:U82">T53*0.280644</f>
        <v>47.549512920000005</v>
      </c>
      <c r="V53" s="9">
        <v>6262</v>
      </c>
      <c r="W53" s="2">
        <f t="shared" si="6"/>
        <v>1647.467978300358</v>
      </c>
    </row>
    <row r="54" spans="1:23" ht="12.75">
      <c r="A54" s="11">
        <v>1517</v>
      </c>
      <c r="B54" s="5">
        <v>5800</v>
      </c>
      <c r="C54" s="5">
        <f t="shared" si="7"/>
        <v>1356.9448</v>
      </c>
      <c r="D54" s="5">
        <v>26000</v>
      </c>
      <c r="E54" s="5">
        <f t="shared" si="5"/>
        <v>6082.856</v>
      </c>
      <c r="H54" s="5">
        <f t="shared" si="8"/>
        <v>31800</v>
      </c>
      <c r="I54" s="5">
        <f t="shared" si="9"/>
        <v>7439.8008</v>
      </c>
      <c r="J54" s="5">
        <v>32400</v>
      </c>
      <c r="K54" s="5">
        <f t="shared" si="10"/>
        <v>7580.1744</v>
      </c>
      <c r="L54" s="12">
        <f t="shared" si="11"/>
        <v>0.9814814814814815</v>
      </c>
      <c r="Q54" s="5">
        <f t="shared" si="12"/>
        <v>25863.399999999998</v>
      </c>
      <c r="R54" s="5">
        <v>6050.897610399999</v>
      </c>
      <c r="S54" s="5">
        <v>3600</v>
      </c>
      <c r="T54" s="5">
        <v>3506.54</v>
      </c>
      <c r="U54" s="5">
        <f t="shared" si="13"/>
        <v>984.08941176</v>
      </c>
      <c r="V54" s="9">
        <v>6262</v>
      </c>
      <c r="W54" s="2">
        <f t="shared" si="6"/>
        <v>1647.467978300358</v>
      </c>
    </row>
    <row r="55" spans="1:23" ht="12.75">
      <c r="A55" s="11">
        <v>1518</v>
      </c>
      <c r="B55" s="5">
        <v>4600</v>
      </c>
      <c r="C55" s="5">
        <f t="shared" si="7"/>
        <v>1076.1976</v>
      </c>
      <c r="D55" s="5">
        <v>16400</v>
      </c>
      <c r="E55" s="5">
        <f t="shared" si="5"/>
        <v>3836.8784</v>
      </c>
      <c r="H55" s="5">
        <f t="shared" si="8"/>
        <v>21000</v>
      </c>
      <c r="I55" s="5">
        <f t="shared" si="9"/>
        <v>4913.076</v>
      </c>
      <c r="J55" s="5">
        <v>22500</v>
      </c>
      <c r="K55" s="5">
        <f t="shared" si="10"/>
        <v>5264.01</v>
      </c>
      <c r="L55" s="12">
        <f t="shared" si="11"/>
        <v>0.9333333333333333</v>
      </c>
      <c r="Q55" s="5">
        <f t="shared" si="12"/>
        <v>25863.399999999998</v>
      </c>
      <c r="R55" s="5">
        <v>6050.897610399999</v>
      </c>
      <c r="S55" s="5">
        <v>16000</v>
      </c>
      <c r="T55" s="5">
        <v>12879.71</v>
      </c>
      <c r="U55" s="5">
        <f t="shared" si="13"/>
        <v>3614.61333324</v>
      </c>
      <c r="V55" s="9">
        <v>6262</v>
      </c>
      <c r="W55" s="2">
        <f t="shared" si="6"/>
        <v>1647.467978300358</v>
      </c>
    </row>
    <row r="56" spans="1:23" ht="12.75">
      <c r="A56" s="11">
        <v>1519</v>
      </c>
      <c r="B56" s="5">
        <v>3700</v>
      </c>
      <c r="C56" s="5">
        <f t="shared" si="7"/>
        <v>865.6372</v>
      </c>
      <c r="D56" s="5">
        <v>12000</v>
      </c>
      <c r="E56" s="5">
        <f t="shared" si="5"/>
        <v>2807.4719999999998</v>
      </c>
      <c r="H56" s="5">
        <f t="shared" si="8"/>
        <v>15700</v>
      </c>
      <c r="I56" s="5">
        <f t="shared" si="9"/>
        <v>3673.1092</v>
      </c>
      <c r="J56" s="5">
        <v>20400</v>
      </c>
      <c r="K56" s="5">
        <f t="shared" si="10"/>
        <v>4772.7024</v>
      </c>
      <c r="L56" s="12">
        <f t="shared" si="11"/>
        <v>0.7696078431372549</v>
      </c>
      <c r="M56" s="5">
        <v>822.5</v>
      </c>
      <c r="N56" s="5">
        <f>M56*0.233956</f>
        <v>192.42881</v>
      </c>
      <c r="O56" s="5">
        <v>25790</v>
      </c>
      <c r="P56" s="5">
        <f>O56*0.233956</f>
        <v>6033.72524</v>
      </c>
      <c r="Q56" s="5">
        <f t="shared" si="12"/>
        <v>26612.5</v>
      </c>
      <c r="R56" s="5">
        <v>6226.15405</v>
      </c>
      <c r="S56" s="5">
        <v>24000</v>
      </c>
      <c r="T56" s="5">
        <v>22143.94</v>
      </c>
      <c r="U56" s="5">
        <f t="shared" si="13"/>
        <v>6214.56389736</v>
      </c>
      <c r="V56" s="9">
        <v>9451</v>
      </c>
      <c r="W56" s="2">
        <f t="shared" si="6"/>
        <v>2486.461172615248</v>
      </c>
    </row>
    <row r="57" spans="1:23" ht="12.75">
      <c r="A57" s="11">
        <v>1520</v>
      </c>
      <c r="B57" s="5">
        <v>3800</v>
      </c>
      <c r="C57" s="5">
        <f t="shared" si="7"/>
        <v>889.0328</v>
      </c>
      <c r="D57" s="5">
        <v>11600</v>
      </c>
      <c r="E57" s="5">
        <f t="shared" si="5"/>
        <v>2713.8896</v>
      </c>
      <c r="H57" s="5">
        <f t="shared" si="8"/>
        <v>15400</v>
      </c>
      <c r="I57" s="5">
        <f t="shared" si="9"/>
        <v>3602.9224</v>
      </c>
      <c r="J57" s="5">
        <v>19200</v>
      </c>
      <c r="K57" s="5">
        <f t="shared" si="10"/>
        <v>4491.9552</v>
      </c>
      <c r="L57" s="12">
        <f t="shared" si="11"/>
        <v>0.8020833333333334</v>
      </c>
      <c r="Q57" s="5">
        <f t="shared" si="12"/>
        <v>25697.75</v>
      </c>
      <c r="R57" s="5">
        <v>6012.142799</v>
      </c>
      <c r="S57" s="5">
        <v>32000</v>
      </c>
      <c r="T57" s="5">
        <v>32030.51</v>
      </c>
      <c r="U57" s="5">
        <f t="shared" si="13"/>
        <v>8989.17044844</v>
      </c>
      <c r="V57" s="9">
        <v>9451</v>
      </c>
      <c r="W57" s="2">
        <f t="shared" si="6"/>
        <v>2486.461172615248</v>
      </c>
    </row>
    <row r="58" spans="1:23" ht="12.75">
      <c r="A58" s="11">
        <v>1521</v>
      </c>
      <c r="B58" s="5">
        <v>2300</v>
      </c>
      <c r="C58" s="5">
        <f t="shared" si="7"/>
        <v>538.0988</v>
      </c>
      <c r="D58" s="5">
        <v>12700</v>
      </c>
      <c r="E58" s="5">
        <f t="shared" si="5"/>
        <v>2971.2412</v>
      </c>
      <c r="H58" s="5">
        <f t="shared" si="8"/>
        <v>15000</v>
      </c>
      <c r="I58" s="5">
        <f t="shared" si="9"/>
        <v>3509.34</v>
      </c>
      <c r="J58" s="5">
        <v>18500</v>
      </c>
      <c r="K58" s="5">
        <f t="shared" si="10"/>
        <v>4328.186</v>
      </c>
      <c r="L58" s="12">
        <f t="shared" si="11"/>
        <v>0.8108108108108109</v>
      </c>
      <c r="Q58" s="5">
        <f t="shared" si="12"/>
        <v>25240.375</v>
      </c>
      <c r="R58" s="5">
        <v>5905.1371735</v>
      </c>
      <c r="S58" s="5">
        <v>33600</v>
      </c>
      <c r="T58" s="5">
        <v>33347.45</v>
      </c>
      <c r="U58" s="5">
        <f t="shared" si="13"/>
        <v>9358.761757799999</v>
      </c>
      <c r="V58" s="9">
        <v>9451</v>
      </c>
      <c r="W58" s="2">
        <f t="shared" si="6"/>
        <v>2486.461172615248</v>
      </c>
    </row>
    <row r="59" spans="1:23" ht="12.75">
      <c r="A59" s="11">
        <v>1522</v>
      </c>
      <c r="B59" s="5">
        <v>2900</v>
      </c>
      <c r="C59" s="5">
        <f t="shared" si="7"/>
        <v>678.4724</v>
      </c>
      <c r="D59" s="5">
        <v>10800</v>
      </c>
      <c r="E59" s="5">
        <f t="shared" si="5"/>
        <v>2526.7248</v>
      </c>
      <c r="H59" s="5">
        <f t="shared" si="8"/>
        <v>13700</v>
      </c>
      <c r="I59" s="5">
        <f t="shared" si="9"/>
        <v>3205.1972</v>
      </c>
      <c r="J59" s="5">
        <v>16000</v>
      </c>
      <c r="K59" s="5">
        <f t="shared" si="10"/>
        <v>3743.296</v>
      </c>
      <c r="L59" s="12">
        <f t="shared" si="11"/>
        <v>0.85625</v>
      </c>
      <c r="M59" s="5">
        <v>875.2</v>
      </c>
      <c r="N59" s="5">
        <f>M59*0.233956</f>
        <v>204.7582912</v>
      </c>
      <c r="O59" s="5">
        <v>23960.5</v>
      </c>
      <c r="P59" s="5">
        <f>O59*0.233956</f>
        <v>5605.702738</v>
      </c>
      <c r="Q59" s="5">
        <f t="shared" si="12"/>
        <v>24783</v>
      </c>
      <c r="R59" s="5">
        <v>5798.131548</v>
      </c>
      <c r="S59" s="5">
        <v>31600</v>
      </c>
      <c r="T59" s="5">
        <v>29639.72</v>
      </c>
      <c r="U59" s="5">
        <f t="shared" si="13"/>
        <v>8318.20957968</v>
      </c>
      <c r="V59" s="9">
        <v>9451</v>
      </c>
      <c r="W59" s="2">
        <f t="shared" si="6"/>
        <v>2486.461172615248</v>
      </c>
    </row>
    <row r="60" spans="1:23" ht="12.75">
      <c r="A60" s="11">
        <v>1523</v>
      </c>
      <c r="B60" s="5">
        <v>2000</v>
      </c>
      <c r="C60" s="5">
        <f t="shared" si="7"/>
        <v>467.912</v>
      </c>
      <c r="D60" s="5">
        <v>9800</v>
      </c>
      <c r="E60" s="5">
        <f t="shared" si="5"/>
        <v>2292.7688</v>
      </c>
      <c r="H60" s="5">
        <f t="shared" si="8"/>
        <v>11800</v>
      </c>
      <c r="I60" s="5">
        <f t="shared" si="9"/>
        <v>2760.6808</v>
      </c>
      <c r="J60" s="5">
        <v>13600</v>
      </c>
      <c r="K60" s="5">
        <f t="shared" si="10"/>
        <v>3181.8016</v>
      </c>
      <c r="L60" s="12">
        <f t="shared" si="11"/>
        <v>0.8676470588235294</v>
      </c>
      <c r="M60" s="5">
        <v>867.3</v>
      </c>
      <c r="N60" s="5">
        <f>M60*0.233956</f>
        <v>202.9100388</v>
      </c>
      <c r="O60" s="5">
        <v>23698.8</v>
      </c>
      <c r="P60" s="5">
        <f>O60*0.233956</f>
        <v>5544.4764528</v>
      </c>
      <c r="Q60" s="5">
        <f t="shared" si="12"/>
        <v>24566.1</v>
      </c>
      <c r="R60" s="5">
        <v>5747.386491599999</v>
      </c>
      <c r="S60" s="5">
        <v>35200</v>
      </c>
      <c r="T60" s="5">
        <v>35276.26</v>
      </c>
      <c r="U60" s="5">
        <f t="shared" si="13"/>
        <v>9900.070711440001</v>
      </c>
      <c r="V60" s="9">
        <v>9451</v>
      </c>
      <c r="W60" s="2">
        <f t="shared" si="6"/>
        <v>2486.461172615248</v>
      </c>
    </row>
    <row r="61" spans="1:23" ht="12.75">
      <c r="A61" s="11">
        <v>1524</v>
      </c>
      <c r="B61" s="5">
        <v>900</v>
      </c>
      <c r="C61" s="5">
        <f t="shared" si="7"/>
        <v>210.5604</v>
      </c>
      <c r="D61" s="5">
        <v>12200</v>
      </c>
      <c r="E61" s="5">
        <f aca="true" t="shared" si="14" ref="E61:E82">D61*0.233956</f>
        <v>2854.2632</v>
      </c>
      <c r="F61" s="5">
        <v>400</v>
      </c>
      <c r="G61" s="5">
        <f aca="true" t="shared" si="15" ref="G61:G83">F61*0.233956</f>
        <v>93.58239999999999</v>
      </c>
      <c r="H61" s="5">
        <f t="shared" si="8"/>
        <v>13500</v>
      </c>
      <c r="I61" s="5">
        <f t="shared" si="9"/>
        <v>3158.406</v>
      </c>
      <c r="J61" s="5">
        <v>15200</v>
      </c>
      <c r="K61" s="5">
        <f t="shared" si="10"/>
        <v>3556.1312</v>
      </c>
      <c r="L61" s="12">
        <f t="shared" si="11"/>
        <v>0.8881578947368421</v>
      </c>
      <c r="M61" s="5">
        <v>1044.5</v>
      </c>
      <c r="N61" s="5">
        <f>M61*0.233956</f>
        <v>244.367042</v>
      </c>
      <c r="O61" s="5">
        <v>28596.3</v>
      </c>
      <c r="P61" s="5">
        <f>O61*0.233956</f>
        <v>6690.275962799999</v>
      </c>
      <c r="Q61" s="5">
        <f t="shared" si="12"/>
        <v>29640.799999999996</v>
      </c>
      <c r="R61" s="5">
        <v>6934.643004799999</v>
      </c>
      <c r="S61" s="5">
        <v>41200</v>
      </c>
      <c r="T61" s="5">
        <v>41235.93</v>
      </c>
      <c r="U61" s="5">
        <f t="shared" si="13"/>
        <v>11572.616338920001</v>
      </c>
      <c r="V61" s="9">
        <v>9451</v>
      </c>
      <c r="W61" s="2">
        <f t="shared" si="6"/>
        <v>2486.461172615248</v>
      </c>
    </row>
    <row r="62" spans="1:23" ht="12.75">
      <c r="A62" s="11">
        <v>1525</v>
      </c>
      <c r="B62" s="5">
        <v>2000</v>
      </c>
      <c r="C62" s="5">
        <f t="shared" si="7"/>
        <v>467.912</v>
      </c>
      <c r="D62" s="5">
        <v>10400</v>
      </c>
      <c r="E62" s="5">
        <f t="shared" si="14"/>
        <v>2433.1424</v>
      </c>
      <c r="F62" s="5">
        <v>400</v>
      </c>
      <c r="G62" s="5">
        <f t="shared" si="15"/>
        <v>93.58239999999999</v>
      </c>
      <c r="H62" s="5">
        <f t="shared" si="8"/>
        <v>12800</v>
      </c>
      <c r="I62" s="5">
        <f t="shared" si="9"/>
        <v>2994.6367999999998</v>
      </c>
      <c r="J62" s="5">
        <v>15800</v>
      </c>
      <c r="K62" s="5">
        <f t="shared" si="10"/>
        <v>3696.5048</v>
      </c>
      <c r="L62" s="12">
        <f t="shared" si="11"/>
        <v>0.810126582278481</v>
      </c>
      <c r="Q62" s="5">
        <f t="shared" si="12"/>
        <v>30266.5</v>
      </c>
      <c r="R62" s="5">
        <v>7081.0292739999995</v>
      </c>
      <c r="S62" s="5">
        <v>33200</v>
      </c>
      <c r="T62" s="5">
        <v>33375.1</v>
      </c>
      <c r="U62" s="5">
        <f t="shared" si="13"/>
        <v>9366.5215644</v>
      </c>
      <c r="V62" s="9">
        <v>9451</v>
      </c>
      <c r="W62" s="2">
        <f t="shared" si="6"/>
        <v>2486.461172615248</v>
      </c>
    </row>
    <row r="63" spans="1:23" ht="12.75">
      <c r="A63" s="11">
        <v>1526</v>
      </c>
      <c r="B63" s="5">
        <v>2800</v>
      </c>
      <c r="C63" s="5">
        <f t="shared" si="7"/>
        <v>655.0768</v>
      </c>
      <c r="D63" s="5">
        <v>11500</v>
      </c>
      <c r="E63" s="5">
        <f t="shared" si="14"/>
        <v>2690.494</v>
      </c>
      <c r="F63" s="5">
        <v>400</v>
      </c>
      <c r="G63" s="5">
        <f t="shared" si="15"/>
        <v>93.58239999999999</v>
      </c>
      <c r="H63" s="5">
        <f t="shared" si="8"/>
        <v>14700</v>
      </c>
      <c r="I63" s="5">
        <f t="shared" si="9"/>
        <v>3439.1531999999997</v>
      </c>
      <c r="J63" s="5">
        <v>17200</v>
      </c>
      <c r="K63" s="5">
        <f t="shared" si="10"/>
        <v>4024.0432</v>
      </c>
      <c r="L63" s="12">
        <f t="shared" si="11"/>
        <v>0.8546511627906976</v>
      </c>
      <c r="M63" s="5">
        <v>1210.3</v>
      </c>
      <c r="N63" s="5">
        <f>M63*0.233956</f>
        <v>283.1569468</v>
      </c>
      <c r="O63" s="5">
        <v>34756.6</v>
      </c>
      <c r="P63" s="5">
        <f>O63*0.233956</f>
        <v>8131.5151096</v>
      </c>
      <c r="Q63" s="5">
        <f t="shared" si="12"/>
        <v>35966.9</v>
      </c>
      <c r="R63" s="5">
        <v>8414.6720564</v>
      </c>
      <c r="S63" s="5">
        <v>48800</v>
      </c>
      <c r="T63" s="5">
        <v>49094.05</v>
      </c>
      <c r="U63" s="5">
        <f t="shared" si="13"/>
        <v>13777.950568200002</v>
      </c>
      <c r="V63" s="9">
        <v>8625</v>
      </c>
      <c r="W63" s="2">
        <f aca="true" t="shared" si="16" ref="W63:W81">V63/3.80098434839402</f>
        <v>2269.149043890225</v>
      </c>
    </row>
    <row r="64" spans="1:23" ht="12.75">
      <c r="A64" s="11">
        <v>1527</v>
      </c>
      <c r="B64" s="5">
        <v>2000</v>
      </c>
      <c r="C64" s="5">
        <f t="shared" si="7"/>
        <v>467.912</v>
      </c>
      <c r="D64" s="5">
        <v>9500</v>
      </c>
      <c r="E64" s="5">
        <f t="shared" si="14"/>
        <v>2222.582</v>
      </c>
      <c r="F64" s="5">
        <v>400</v>
      </c>
      <c r="G64" s="5">
        <f t="shared" si="15"/>
        <v>93.58239999999999</v>
      </c>
      <c r="H64" s="5">
        <f t="shared" si="8"/>
        <v>11900</v>
      </c>
      <c r="I64" s="5">
        <f t="shared" si="9"/>
        <v>2784.0764</v>
      </c>
      <c r="J64" s="5">
        <v>13200</v>
      </c>
      <c r="K64" s="5">
        <f t="shared" si="10"/>
        <v>3088.2192</v>
      </c>
      <c r="L64" s="12">
        <f t="shared" si="11"/>
        <v>0.9015151515151515</v>
      </c>
      <c r="M64" s="5">
        <v>1214.9</v>
      </c>
      <c r="N64" s="5">
        <f>M64*0.233956</f>
        <v>284.2331444</v>
      </c>
      <c r="O64" s="5">
        <v>33261.6</v>
      </c>
      <c r="P64" s="5">
        <f>O64*0.233956</f>
        <v>7781.7508896</v>
      </c>
      <c r="Q64" s="5">
        <f t="shared" si="12"/>
        <v>34476.5</v>
      </c>
      <c r="R64" s="5">
        <v>8065.984034</v>
      </c>
      <c r="S64" s="5">
        <v>56400</v>
      </c>
      <c r="T64" s="5">
        <v>56437.24</v>
      </c>
      <c r="U64" s="5">
        <f t="shared" si="13"/>
        <v>15838.77278256</v>
      </c>
      <c r="V64" s="9">
        <v>8625</v>
      </c>
      <c r="W64" s="2">
        <f t="shared" si="16"/>
        <v>2269.149043890225</v>
      </c>
    </row>
    <row r="65" spans="1:23" ht="12.75">
      <c r="A65" s="11">
        <v>1528</v>
      </c>
      <c r="B65" s="5">
        <v>1200</v>
      </c>
      <c r="C65" s="5">
        <f t="shared" si="7"/>
        <v>280.7472</v>
      </c>
      <c r="D65" s="5">
        <v>9200</v>
      </c>
      <c r="E65" s="5">
        <f t="shared" si="14"/>
        <v>2152.3952</v>
      </c>
      <c r="F65" s="5">
        <v>400</v>
      </c>
      <c r="G65" s="5">
        <f t="shared" si="15"/>
        <v>93.58239999999999</v>
      </c>
      <c r="H65" s="5">
        <f t="shared" si="8"/>
        <v>10800</v>
      </c>
      <c r="I65" s="5">
        <f t="shared" si="9"/>
        <v>2526.7248</v>
      </c>
      <c r="J65" s="5">
        <v>11600</v>
      </c>
      <c r="K65" s="5">
        <f t="shared" si="10"/>
        <v>2713.8896</v>
      </c>
      <c r="L65" s="12">
        <f t="shared" si="11"/>
        <v>0.9310344827586207</v>
      </c>
      <c r="Q65" s="5">
        <f t="shared" si="12"/>
        <v>33598.25</v>
      </c>
      <c r="R65" s="5">
        <v>7860.512177</v>
      </c>
      <c r="S65" s="5">
        <v>53600</v>
      </c>
      <c r="T65" s="5">
        <v>53372.66</v>
      </c>
      <c r="U65" s="5">
        <f t="shared" si="13"/>
        <v>14978.716793040001</v>
      </c>
      <c r="V65" s="9">
        <v>8625</v>
      </c>
      <c r="W65" s="2">
        <f t="shared" si="16"/>
        <v>2269.149043890225</v>
      </c>
    </row>
    <row r="66" spans="1:23" ht="12.75">
      <c r="A66" s="11">
        <v>1529</v>
      </c>
      <c r="B66" s="5">
        <v>1600</v>
      </c>
      <c r="C66" s="5">
        <f t="shared" si="7"/>
        <v>374.32959999999997</v>
      </c>
      <c r="D66" s="5">
        <v>10400</v>
      </c>
      <c r="E66" s="5">
        <f t="shared" si="14"/>
        <v>2433.1424</v>
      </c>
      <c r="F66" s="5">
        <v>900</v>
      </c>
      <c r="G66" s="5">
        <f t="shared" si="15"/>
        <v>210.5604</v>
      </c>
      <c r="H66" s="5">
        <f t="shared" si="8"/>
        <v>12900</v>
      </c>
      <c r="I66" s="5">
        <f t="shared" si="9"/>
        <v>3018.0324</v>
      </c>
      <c r="J66" s="5">
        <v>14000</v>
      </c>
      <c r="K66" s="5">
        <f t="shared" si="10"/>
        <v>3275.384</v>
      </c>
      <c r="L66" s="12">
        <f t="shared" si="11"/>
        <v>0.9214285714285714</v>
      </c>
      <c r="M66" s="5">
        <v>1170</v>
      </c>
      <c r="N66" s="5">
        <f>M66*0.233956</f>
        <v>273.72852</v>
      </c>
      <c r="O66" s="5">
        <v>31550</v>
      </c>
      <c r="P66" s="5">
        <f>O66*0.233956</f>
        <v>7381.3117999999995</v>
      </c>
      <c r="Q66" s="5">
        <f t="shared" si="12"/>
        <v>32719.999999999996</v>
      </c>
      <c r="R66" s="5">
        <v>7655.040319999999</v>
      </c>
      <c r="S66" s="5">
        <v>43200</v>
      </c>
      <c r="T66" s="5">
        <v>43308.06</v>
      </c>
      <c r="U66" s="5">
        <f t="shared" si="13"/>
        <v>12154.14719064</v>
      </c>
      <c r="V66" s="9">
        <v>8625</v>
      </c>
      <c r="W66" s="2">
        <f t="shared" si="16"/>
        <v>2269.149043890225</v>
      </c>
    </row>
    <row r="67" spans="1:23" ht="12.75">
      <c r="A67" s="11">
        <v>1530</v>
      </c>
      <c r="B67" s="5">
        <v>3500</v>
      </c>
      <c r="C67" s="5">
        <f t="shared" si="7"/>
        <v>818.846</v>
      </c>
      <c r="D67" s="5">
        <v>10500</v>
      </c>
      <c r="E67" s="5">
        <f t="shared" si="14"/>
        <v>2456.538</v>
      </c>
      <c r="F67" s="5">
        <v>1700</v>
      </c>
      <c r="G67" s="5">
        <f t="shared" si="15"/>
        <v>397.7252</v>
      </c>
      <c r="H67" s="5">
        <f t="shared" si="8"/>
        <v>15700</v>
      </c>
      <c r="I67" s="5">
        <f t="shared" si="9"/>
        <v>3673.1092</v>
      </c>
      <c r="J67" s="5">
        <v>17200</v>
      </c>
      <c r="K67" s="5">
        <f t="shared" si="10"/>
        <v>4024.0432</v>
      </c>
      <c r="L67" s="12">
        <f t="shared" si="11"/>
        <v>0.9127906976744186</v>
      </c>
      <c r="Q67" s="5">
        <f t="shared" si="12"/>
        <v>31841.75</v>
      </c>
      <c r="R67" s="5">
        <v>7449.568463</v>
      </c>
      <c r="S67" s="5">
        <v>43600</v>
      </c>
      <c r="T67" s="5">
        <v>43567.76</v>
      </c>
      <c r="U67" s="5">
        <f t="shared" si="13"/>
        <v>12227.03043744</v>
      </c>
      <c r="V67" s="9">
        <v>8625</v>
      </c>
      <c r="W67" s="2">
        <f t="shared" si="16"/>
        <v>2269.149043890225</v>
      </c>
    </row>
    <row r="68" spans="1:23" ht="12.75">
      <c r="A68" s="11">
        <v>1531</v>
      </c>
      <c r="B68" s="5">
        <v>3700</v>
      </c>
      <c r="C68" s="5">
        <f t="shared" si="7"/>
        <v>865.6372</v>
      </c>
      <c r="D68" s="5">
        <v>12800</v>
      </c>
      <c r="E68" s="5">
        <f t="shared" si="14"/>
        <v>2994.6367999999998</v>
      </c>
      <c r="F68" s="5">
        <v>2700</v>
      </c>
      <c r="G68" s="5">
        <f t="shared" si="15"/>
        <v>631.6812</v>
      </c>
      <c r="H68" s="5">
        <f t="shared" si="8"/>
        <v>19200</v>
      </c>
      <c r="I68" s="5">
        <f t="shared" si="9"/>
        <v>4491.9552</v>
      </c>
      <c r="J68" s="5">
        <v>23600</v>
      </c>
      <c r="K68" s="5">
        <f t="shared" si="10"/>
        <v>5521.3616</v>
      </c>
      <c r="L68" s="12">
        <f t="shared" si="11"/>
        <v>0.8135593220338984</v>
      </c>
      <c r="Q68" s="5">
        <f t="shared" si="12"/>
        <v>26932</v>
      </c>
      <c r="R68" s="5">
        <v>6300.902992</v>
      </c>
      <c r="S68" s="5">
        <v>52800</v>
      </c>
      <c r="T68" s="5">
        <v>50510.7</v>
      </c>
      <c r="U68" s="5">
        <f t="shared" si="13"/>
        <v>14175.5248908</v>
      </c>
      <c r="V68" s="9">
        <v>8625</v>
      </c>
      <c r="W68" s="2">
        <f t="shared" si="16"/>
        <v>2269.149043890225</v>
      </c>
    </row>
    <row r="69" spans="1:23" ht="12.75">
      <c r="A69" s="11">
        <v>1532</v>
      </c>
      <c r="B69" s="5">
        <v>2500</v>
      </c>
      <c r="C69" s="5">
        <f t="shared" si="7"/>
        <v>584.89</v>
      </c>
      <c r="D69" s="5">
        <v>7000</v>
      </c>
      <c r="E69" s="5">
        <f t="shared" si="14"/>
        <v>1637.692</v>
      </c>
      <c r="F69" s="5">
        <v>4000</v>
      </c>
      <c r="G69" s="5">
        <f t="shared" si="15"/>
        <v>935.824</v>
      </c>
      <c r="H69" s="5">
        <f t="shared" si="8"/>
        <v>13500</v>
      </c>
      <c r="I69" s="5">
        <f t="shared" si="9"/>
        <v>3158.406</v>
      </c>
      <c r="J69" s="5">
        <v>15200</v>
      </c>
      <c r="K69" s="5">
        <f t="shared" si="10"/>
        <v>3556.1312</v>
      </c>
      <c r="L69" s="12">
        <f t="shared" si="11"/>
        <v>0.8881578947368421</v>
      </c>
      <c r="Q69" s="5">
        <f t="shared" si="12"/>
        <v>26932</v>
      </c>
      <c r="R69" s="5">
        <v>6300.902992</v>
      </c>
      <c r="S69" s="5">
        <v>62000</v>
      </c>
      <c r="T69" s="5">
        <v>63039.33</v>
      </c>
      <c r="U69" s="5">
        <f t="shared" si="13"/>
        <v>17691.60972852</v>
      </c>
      <c r="V69" s="9">
        <v>8625</v>
      </c>
      <c r="W69" s="2">
        <f t="shared" si="16"/>
        <v>2269.149043890225</v>
      </c>
    </row>
    <row r="70" spans="1:23" ht="12.75">
      <c r="A70" s="11">
        <v>1533</v>
      </c>
      <c r="B70" s="5">
        <v>2100</v>
      </c>
      <c r="C70" s="5">
        <f t="shared" si="7"/>
        <v>491.3076</v>
      </c>
      <c r="D70" s="5">
        <v>11300</v>
      </c>
      <c r="E70" s="5">
        <f t="shared" si="14"/>
        <v>2643.7028</v>
      </c>
      <c r="F70" s="5">
        <v>2800</v>
      </c>
      <c r="G70" s="5">
        <f t="shared" si="15"/>
        <v>655.0768</v>
      </c>
      <c r="H70" s="5">
        <f t="shared" si="8"/>
        <v>16200</v>
      </c>
      <c r="I70" s="5">
        <f t="shared" si="9"/>
        <v>3790.0872</v>
      </c>
      <c r="J70" s="5">
        <v>17200</v>
      </c>
      <c r="K70" s="5">
        <f t="shared" si="10"/>
        <v>4024.0432</v>
      </c>
      <c r="L70" s="12">
        <f t="shared" si="11"/>
        <v>0.9418604651162791</v>
      </c>
      <c r="O70" s="5">
        <v>26932</v>
      </c>
      <c r="P70" s="5">
        <f>O70*0.233956</f>
        <v>6300.902992</v>
      </c>
      <c r="Q70" s="5">
        <f t="shared" si="12"/>
        <v>26932</v>
      </c>
      <c r="R70" s="5">
        <v>6300.902992</v>
      </c>
      <c r="S70" s="5">
        <v>71600</v>
      </c>
      <c r="T70" s="5">
        <v>71728.75</v>
      </c>
      <c r="U70" s="5">
        <f t="shared" si="13"/>
        <v>20130.243315</v>
      </c>
      <c r="V70" s="9">
        <v>8625</v>
      </c>
      <c r="W70" s="2">
        <f t="shared" si="16"/>
        <v>2269.149043890225</v>
      </c>
    </row>
    <row r="71" spans="1:23" ht="12.75">
      <c r="A71" s="11">
        <v>1534</v>
      </c>
      <c r="B71" s="5">
        <v>7300</v>
      </c>
      <c r="C71" s="5">
        <f t="shared" si="7"/>
        <v>1707.8788</v>
      </c>
      <c r="D71" s="5">
        <v>19600</v>
      </c>
      <c r="E71" s="5">
        <f t="shared" si="14"/>
        <v>4585.5376</v>
      </c>
      <c r="F71" s="5">
        <v>1600</v>
      </c>
      <c r="G71" s="5">
        <f t="shared" si="15"/>
        <v>374.32959999999997</v>
      </c>
      <c r="H71" s="5">
        <f t="shared" si="8"/>
        <v>28500</v>
      </c>
      <c r="I71" s="5">
        <f t="shared" si="9"/>
        <v>6667.746</v>
      </c>
      <c r="J71" s="5">
        <v>32000</v>
      </c>
      <c r="K71" s="5">
        <f t="shared" si="10"/>
        <v>7486.592</v>
      </c>
      <c r="L71" s="12">
        <f t="shared" si="11"/>
        <v>0.890625</v>
      </c>
      <c r="Q71" s="5">
        <f t="shared" si="12"/>
        <v>26932</v>
      </c>
      <c r="R71" s="5">
        <v>6300.902992</v>
      </c>
      <c r="S71" s="5">
        <v>58000</v>
      </c>
      <c r="T71" s="5">
        <v>61119.02</v>
      </c>
      <c r="U71" s="5">
        <f t="shared" si="13"/>
        <v>17152.68624888</v>
      </c>
      <c r="V71" s="9">
        <v>8625</v>
      </c>
      <c r="W71" s="2">
        <f t="shared" si="16"/>
        <v>2269.149043890225</v>
      </c>
    </row>
    <row r="72" spans="1:23" ht="12.75">
      <c r="A72" s="11">
        <v>1535</v>
      </c>
      <c r="B72" s="5">
        <v>15500</v>
      </c>
      <c r="C72" s="5">
        <f aca="true" t="shared" si="17" ref="C72:C87">B72*0.233956</f>
        <v>3626.3179999999998</v>
      </c>
      <c r="D72" s="5">
        <v>32400</v>
      </c>
      <c r="E72" s="5">
        <f t="shared" si="14"/>
        <v>7580.1744</v>
      </c>
      <c r="F72" s="5">
        <v>6000</v>
      </c>
      <c r="G72" s="5">
        <f t="shared" si="15"/>
        <v>1403.7359999999999</v>
      </c>
      <c r="H72" s="5">
        <f aca="true" t="shared" si="18" ref="H72:H87">B72+D72+F72</f>
        <v>53900</v>
      </c>
      <c r="I72" s="5">
        <f aca="true" t="shared" si="19" ref="I72:I87">H72*0.233956</f>
        <v>12610.2284</v>
      </c>
      <c r="J72" s="5">
        <v>54400</v>
      </c>
      <c r="K72" s="5">
        <f aca="true" t="shared" si="20" ref="K72:K83">J72*0.233956</f>
        <v>12727.2064</v>
      </c>
      <c r="L72" s="12">
        <f aca="true" t="shared" si="21" ref="L72:L83">H72/J72</f>
        <v>0.9908088235294118</v>
      </c>
      <c r="Q72" s="5">
        <f t="shared" si="12"/>
        <v>26932</v>
      </c>
      <c r="R72" s="5">
        <v>6300.902992</v>
      </c>
      <c r="S72" s="5">
        <v>49600</v>
      </c>
      <c r="T72" s="5">
        <v>48545.42</v>
      </c>
      <c r="U72" s="5">
        <f t="shared" si="13"/>
        <v>13623.98085048</v>
      </c>
      <c r="V72" s="9">
        <v>8625</v>
      </c>
      <c r="W72" s="2">
        <f t="shared" si="16"/>
        <v>2269.149043890225</v>
      </c>
    </row>
    <row r="73" spans="1:23" ht="12.75">
      <c r="A73" s="11">
        <v>1536</v>
      </c>
      <c r="B73" s="5">
        <v>16500</v>
      </c>
      <c r="C73" s="5">
        <f t="shared" si="17"/>
        <v>3860.274</v>
      </c>
      <c r="D73" s="5">
        <v>27200</v>
      </c>
      <c r="E73" s="5">
        <f t="shared" si="14"/>
        <v>6363.6032</v>
      </c>
      <c r="F73" s="5">
        <v>6800</v>
      </c>
      <c r="G73" s="5">
        <f t="shared" si="15"/>
        <v>1590.9008</v>
      </c>
      <c r="H73" s="5">
        <f t="shared" si="18"/>
        <v>50500</v>
      </c>
      <c r="I73" s="5">
        <f t="shared" si="19"/>
        <v>11814.778</v>
      </c>
      <c r="J73" s="5">
        <v>51200</v>
      </c>
      <c r="K73" s="5">
        <f t="shared" si="20"/>
        <v>11978.547199999999</v>
      </c>
      <c r="L73" s="12">
        <f t="shared" si="21"/>
        <v>0.986328125</v>
      </c>
      <c r="Q73" s="5">
        <f t="shared" si="12"/>
        <v>25305.893605635243</v>
      </c>
      <c r="R73" s="5">
        <v>5920.465644399999</v>
      </c>
      <c r="S73" s="5">
        <v>44800</v>
      </c>
      <c r="T73" s="5">
        <v>45254.7</v>
      </c>
      <c r="U73" s="5">
        <f t="shared" si="13"/>
        <v>12700.4600268</v>
      </c>
      <c r="V73" s="9">
        <v>8625</v>
      </c>
      <c r="W73" s="2">
        <f t="shared" si="16"/>
        <v>2269.149043890225</v>
      </c>
    </row>
    <row r="74" spans="1:23" ht="12.75">
      <c r="A74" s="11">
        <v>1537</v>
      </c>
      <c r="B74" s="5">
        <v>13200</v>
      </c>
      <c r="C74" s="5">
        <f t="shared" si="17"/>
        <v>3088.2192</v>
      </c>
      <c r="D74" s="5">
        <v>62400</v>
      </c>
      <c r="E74" s="5">
        <f t="shared" si="14"/>
        <v>14598.8544</v>
      </c>
      <c r="F74" s="5">
        <v>5200</v>
      </c>
      <c r="G74" s="5">
        <f t="shared" si="15"/>
        <v>1216.5712</v>
      </c>
      <c r="H74" s="5">
        <f t="shared" si="18"/>
        <v>80800</v>
      </c>
      <c r="I74" s="5">
        <f t="shared" si="19"/>
        <v>18903.6448</v>
      </c>
      <c r="J74" s="5">
        <v>80800</v>
      </c>
      <c r="K74" s="5">
        <f t="shared" si="20"/>
        <v>18903.6448</v>
      </c>
      <c r="L74" s="12">
        <f t="shared" si="21"/>
        <v>1</v>
      </c>
      <c r="O74" s="5">
        <v>23679.8</v>
      </c>
      <c r="P74" s="5">
        <f>O74*0.233956</f>
        <v>5540.0312888</v>
      </c>
      <c r="Q74" s="5">
        <f t="shared" si="12"/>
        <v>23679.8</v>
      </c>
      <c r="R74" s="5">
        <v>5540.0312888</v>
      </c>
      <c r="S74" s="5">
        <v>44400</v>
      </c>
      <c r="T74" s="5">
        <v>44307</v>
      </c>
      <c r="U74" s="5">
        <f t="shared" si="13"/>
        <v>12434.493708</v>
      </c>
      <c r="V74" s="9">
        <v>8625</v>
      </c>
      <c r="W74" s="2">
        <f t="shared" si="16"/>
        <v>2269.149043890225</v>
      </c>
    </row>
    <row r="75" spans="1:23" ht="12.75">
      <c r="A75" s="11">
        <v>1538</v>
      </c>
      <c r="B75" s="5">
        <v>15400</v>
      </c>
      <c r="C75" s="5">
        <f t="shared" si="17"/>
        <v>3602.9224</v>
      </c>
      <c r="D75" s="5">
        <v>24000</v>
      </c>
      <c r="E75" s="5">
        <f t="shared" si="14"/>
        <v>5614.9439999999995</v>
      </c>
      <c r="F75" s="5">
        <v>16800</v>
      </c>
      <c r="G75" s="5">
        <f t="shared" si="15"/>
        <v>3930.4608</v>
      </c>
      <c r="H75" s="5">
        <f t="shared" si="18"/>
        <v>56200</v>
      </c>
      <c r="I75" s="5">
        <f t="shared" si="19"/>
        <v>13148.3272</v>
      </c>
      <c r="J75" s="5">
        <v>59200</v>
      </c>
      <c r="K75" s="5">
        <f t="shared" si="20"/>
        <v>13850.1952</v>
      </c>
      <c r="L75" s="12">
        <f t="shared" si="21"/>
        <v>0.9493243243243243</v>
      </c>
      <c r="O75" s="5">
        <v>24541.8</v>
      </c>
      <c r="P75" s="5">
        <f>O75*0.233956</f>
        <v>5741.7013608</v>
      </c>
      <c r="Q75" s="5">
        <f t="shared" si="12"/>
        <v>24541.8</v>
      </c>
      <c r="R75" s="5">
        <v>5741.7013608</v>
      </c>
      <c r="S75" s="5">
        <v>50200</v>
      </c>
      <c r="T75" s="5">
        <v>50371.25</v>
      </c>
      <c r="U75" s="5">
        <f t="shared" si="13"/>
        <v>14136.389085</v>
      </c>
      <c r="V75" s="9">
        <v>8625</v>
      </c>
      <c r="W75" s="2">
        <f t="shared" si="16"/>
        <v>2269.149043890225</v>
      </c>
    </row>
    <row r="76" spans="1:23" ht="12.75">
      <c r="A76" s="11">
        <v>1539</v>
      </c>
      <c r="B76" s="5">
        <v>12400</v>
      </c>
      <c r="C76" s="5">
        <f t="shared" si="17"/>
        <v>2901.0544</v>
      </c>
      <c r="D76" s="5">
        <v>12400</v>
      </c>
      <c r="E76" s="5">
        <f t="shared" si="14"/>
        <v>2901.0544</v>
      </c>
      <c r="F76" s="5">
        <v>32000</v>
      </c>
      <c r="G76" s="5">
        <f t="shared" si="15"/>
        <v>7486.592</v>
      </c>
      <c r="H76" s="5">
        <f t="shared" si="18"/>
        <v>56800</v>
      </c>
      <c r="I76" s="5">
        <f t="shared" si="19"/>
        <v>13288.7008</v>
      </c>
      <c r="J76" s="5">
        <v>60800</v>
      </c>
      <c r="K76" s="5">
        <f t="shared" si="20"/>
        <v>14224.5248</v>
      </c>
      <c r="L76" s="12">
        <f t="shared" si="21"/>
        <v>0.9342105263157895</v>
      </c>
      <c r="Q76" s="5">
        <f t="shared" si="12"/>
        <v>24509.164535211752</v>
      </c>
      <c r="R76" s="5">
        <v>5734.066098</v>
      </c>
      <c r="S76" s="5">
        <v>47200</v>
      </c>
      <c r="T76" s="5">
        <v>47013.12</v>
      </c>
      <c r="U76" s="5">
        <f t="shared" si="13"/>
        <v>13193.950049280002</v>
      </c>
      <c r="V76" s="9">
        <v>8382</v>
      </c>
      <c r="W76" s="2">
        <f t="shared" si="16"/>
        <v>2205.2182360449697</v>
      </c>
    </row>
    <row r="77" spans="1:23" ht="12.75">
      <c r="A77" s="11">
        <v>1540</v>
      </c>
      <c r="B77" s="5">
        <v>9200</v>
      </c>
      <c r="C77" s="5">
        <f t="shared" si="17"/>
        <v>2152.3952</v>
      </c>
      <c r="D77" s="5">
        <v>11800</v>
      </c>
      <c r="E77" s="5">
        <f t="shared" si="14"/>
        <v>2760.6808</v>
      </c>
      <c r="F77" s="5">
        <v>46200</v>
      </c>
      <c r="G77" s="5">
        <f t="shared" si="15"/>
        <v>10808.7672</v>
      </c>
      <c r="H77" s="5">
        <f t="shared" si="18"/>
        <v>67200</v>
      </c>
      <c r="I77" s="5">
        <f t="shared" si="19"/>
        <v>15721.8432</v>
      </c>
      <c r="J77" s="5">
        <v>68000</v>
      </c>
      <c r="K77" s="5">
        <f t="shared" si="20"/>
        <v>15909.008</v>
      </c>
      <c r="L77" s="12">
        <f t="shared" si="21"/>
        <v>0.9882352941176471</v>
      </c>
      <c r="Q77" s="5">
        <f t="shared" si="12"/>
        <v>24509.164535211752</v>
      </c>
      <c r="R77" s="5">
        <v>5734.066098</v>
      </c>
      <c r="S77" s="5">
        <v>49200</v>
      </c>
      <c r="T77" s="5">
        <v>49082.74</v>
      </c>
      <c r="U77" s="5">
        <f t="shared" si="13"/>
        <v>13774.77648456</v>
      </c>
      <c r="V77" s="9">
        <v>8382</v>
      </c>
      <c r="W77" s="2">
        <f t="shared" si="16"/>
        <v>2205.2182360449697</v>
      </c>
    </row>
    <row r="78" spans="1:23" ht="12.75">
      <c r="A78" s="11">
        <v>1541</v>
      </c>
      <c r="B78" s="5">
        <v>8400</v>
      </c>
      <c r="C78" s="5">
        <f t="shared" si="17"/>
        <v>1965.2304</v>
      </c>
      <c r="D78" s="5">
        <v>8400</v>
      </c>
      <c r="E78" s="5">
        <f t="shared" si="14"/>
        <v>1965.2304</v>
      </c>
      <c r="F78" s="5">
        <v>22800</v>
      </c>
      <c r="G78" s="5">
        <f t="shared" si="15"/>
        <v>5334.1968</v>
      </c>
      <c r="H78" s="5">
        <f t="shared" si="18"/>
        <v>39600</v>
      </c>
      <c r="I78" s="5">
        <f t="shared" si="19"/>
        <v>9264.6576</v>
      </c>
      <c r="J78" s="5">
        <v>43600</v>
      </c>
      <c r="K78" s="5">
        <f t="shared" si="20"/>
        <v>10200.4816</v>
      </c>
      <c r="L78" s="12">
        <f t="shared" si="21"/>
        <v>0.908256880733945</v>
      </c>
      <c r="O78" s="5">
        <v>21115.3</v>
      </c>
      <c r="P78" s="5">
        <f>O78*0.233956</f>
        <v>4940.0511268</v>
      </c>
      <c r="Q78" s="5">
        <f t="shared" si="12"/>
        <v>21115.3</v>
      </c>
      <c r="R78" s="5">
        <v>4940.0511268</v>
      </c>
      <c r="S78" s="5">
        <v>43200</v>
      </c>
      <c r="T78" s="5">
        <v>43066.91</v>
      </c>
      <c r="U78" s="5">
        <f t="shared" si="13"/>
        <v>12086.469890040002</v>
      </c>
      <c r="V78" s="9">
        <v>8140</v>
      </c>
      <c r="W78" s="2">
        <f t="shared" si="16"/>
        <v>2141.550517943934</v>
      </c>
    </row>
    <row r="79" spans="1:23" ht="12.75">
      <c r="A79" s="11">
        <v>1542</v>
      </c>
      <c r="B79" s="5">
        <v>6000</v>
      </c>
      <c r="C79" s="5">
        <f t="shared" si="17"/>
        <v>1403.7359999999999</v>
      </c>
      <c r="D79" s="5">
        <v>5000</v>
      </c>
      <c r="E79" s="5">
        <f t="shared" si="14"/>
        <v>1169.78</v>
      </c>
      <c r="F79" s="5">
        <v>18800</v>
      </c>
      <c r="G79" s="5">
        <f t="shared" si="15"/>
        <v>4398.3728</v>
      </c>
      <c r="H79" s="5">
        <f t="shared" si="18"/>
        <v>29800</v>
      </c>
      <c r="I79" s="5">
        <f t="shared" si="19"/>
        <v>6971.8888</v>
      </c>
      <c r="J79" s="5">
        <v>34000</v>
      </c>
      <c r="K79" s="5">
        <f t="shared" si="20"/>
        <v>7954.504</v>
      </c>
      <c r="L79" s="12">
        <f t="shared" si="21"/>
        <v>0.8764705882352941</v>
      </c>
      <c r="O79" s="5">
        <v>23769</v>
      </c>
      <c r="P79" s="5">
        <f>O79*0.233956</f>
        <v>5560.900164</v>
      </c>
      <c r="Q79" s="5">
        <f t="shared" si="12"/>
        <v>23769</v>
      </c>
      <c r="R79" s="5">
        <v>5560.900164</v>
      </c>
      <c r="S79" s="5">
        <v>36800</v>
      </c>
      <c r="T79" s="5">
        <v>36729.93</v>
      </c>
      <c r="U79" s="5">
        <f t="shared" si="13"/>
        <v>10308.03447492</v>
      </c>
      <c r="V79" s="9">
        <v>8140</v>
      </c>
      <c r="W79" s="2">
        <f t="shared" si="16"/>
        <v>2141.550517943934</v>
      </c>
    </row>
    <row r="80" spans="1:23" ht="12.75">
      <c r="A80" s="11">
        <v>1543</v>
      </c>
      <c r="B80" s="5">
        <v>4800</v>
      </c>
      <c r="C80" s="5">
        <f t="shared" si="17"/>
        <v>1122.9888</v>
      </c>
      <c r="D80" s="5">
        <v>8400</v>
      </c>
      <c r="E80" s="5">
        <f t="shared" si="14"/>
        <v>1965.2304</v>
      </c>
      <c r="F80" s="5">
        <v>16000</v>
      </c>
      <c r="G80" s="5">
        <f t="shared" si="15"/>
        <v>3743.296</v>
      </c>
      <c r="H80" s="5">
        <f t="shared" si="18"/>
        <v>29200</v>
      </c>
      <c r="I80" s="5">
        <f t="shared" si="19"/>
        <v>6831.5152</v>
      </c>
      <c r="J80" s="5">
        <v>29600</v>
      </c>
      <c r="K80" s="5">
        <f t="shared" si="20"/>
        <v>6925.0976</v>
      </c>
      <c r="L80" s="12">
        <f t="shared" si="21"/>
        <v>0.9864864864864865</v>
      </c>
      <c r="O80" s="5">
        <v>26763</v>
      </c>
      <c r="P80" s="5">
        <f>O80*0.233956</f>
        <v>6261.364428</v>
      </c>
      <c r="Q80" s="5">
        <f t="shared" si="12"/>
        <v>26763</v>
      </c>
      <c r="R80" s="5">
        <v>6261.364428</v>
      </c>
      <c r="S80" s="5">
        <v>38000</v>
      </c>
      <c r="T80" s="5">
        <v>38022.44</v>
      </c>
      <c r="U80" s="5">
        <f t="shared" si="13"/>
        <v>10670.76965136</v>
      </c>
      <c r="V80" s="9">
        <v>8140</v>
      </c>
      <c r="W80" s="2">
        <f t="shared" si="16"/>
        <v>2141.550517943934</v>
      </c>
    </row>
    <row r="81" spans="1:23" ht="12.75">
      <c r="A81" s="11">
        <v>1544</v>
      </c>
      <c r="B81" s="5">
        <v>3600</v>
      </c>
      <c r="C81" s="5">
        <f t="shared" si="17"/>
        <v>842.2416</v>
      </c>
      <c r="D81" s="5">
        <v>1800</v>
      </c>
      <c r="E81" s="5">
        <f t="shared" si="14"/>
        <v>421.1208</v>
      </c>
      <c r="F81" s="5">
        <v>16400</v>
      </c>
      <c r="G81" s="5">
        <f t="shared" si="15"/>
        <v>3836.8784</v>
      </c>
      <c r="H81" s="5">
        <f t="shared" si="18"/>
        <v>21800</v>
      </c>
      <c r="I81" s="5">
        <f t="shared" si="19"/>
        <v>5100.2408</v>
      </c>
      <c r="J81" s="5">
        <v>24200</v>
      </c>
      <c r="K81" s="5">
        <f t="shared" si="20"/>
        <v>5661.7352</v>
      </c>
      <c r="L81" s="12">
        <f t="shared" si="21"/>
        <v>0.9008264462809917</v>
      </c>
      <c r="O81" s="5">
        <v>28280.6</v>
      </c>
      <c r="P81" s="5">
        <f>O81*0.233956</f>
        <v>6616.4160536</v>
      </c>
      <c r="Q81" s="5">
        <f t="shared" si="12"/>
        <v>28280.6</v>
      </c>
      <c r="R81" s="5">
        <v>6616.4160536</v>
      </c>
      <c r="S81" s="5">
        <v>38800</v>
      </c>
      <c r="T81" s="5">
        <v>38648.9</v>
      </c>
      <c r="U81" s="5">
        <f t="shared" si="13"/>
        <v>10846.5818916</v>
      </c>
      <c r="V81" s="9">
        <v>8140</v>
      </c>
      <c r="W81" s="2">
        <f t="shared" si="16"/>
        <v>2141.550517943934</v>
      </c>
    </row>
    <row r="82" spans="1:21" ht="12.75">
      <c r="A82" s="11">
        <v>1545</v>
      </c>
      <c r="B82" s="5">
        <v>4200</v>
      </c>
      <c r="C82" s="5">
        <f t="shared" si="17"/>
        <v>982.6152</v>
      </c>
      <c r="D82" s="5">
        <v>10000</v>
      </c>
      <c r="E82" s="5">
        <f t="shared" si="14"/>
        <v>2339.56</v>
      </c>
      <c r="F82" s="5">
        <v>14800</v>
      </c>
      <c r="G82" s="5">
        <f t="shared" si="15"/>
        <v>3462.5488</v>
      </c>
      <c r="H82" s="5">
        <f t="shared" si="18"/>
        <v>29000</v>
      </c>
      <c r="I82" s="5">
        <f t="shared" si="19"/>
        <v>6784.724</v>
      </c>
      <c r="J82" s="5">
        <v>34000</v>
      </c>
      <c r="K82" s="5">
        <f t="shared" si="20"/>
        <v>7954.504</v>
      </c>
      <c r="L82" s="12">
        <f t="shared" si="21"/>
        <v>0.8529411764705882</v>
      </c>
      <c r="O82" s="5">
        <v>31378.8</v>
      </c>
      <c r="P82" s="5">
        <f>O82*0.233956</f>
        <v>7341.2585328</v>
      </c>
      <c r="Q82" s="5">
        <f t="shared" si="12"/>
        <v>31378.8</v>
      </c>
      <c r="R82" s="5">
        <v>7341.2585328</v>
      </c>
      <c r="S82" s="5">
        <v>29200</v>
      </c>
      <c r="T82" s="5">
        <f>28788.41/0.75</f>
        <v>38384.54666666667</v>
      </c>
      <c r="U82" s="5">
        <f t="shared" si="13"/>
        <v>10772.392714720001</v>
      </c>
    </row>
    <row r="83" spans="1:18" ht="12.75">
      <c r="A83" s="11">
        <v>1546</v>
      </c>
      <c r="B83" s="5">
        <v>2300</v>
      </c>
      <c r="C83" s="5">
        <f t="shared" si="17"/>
        <v>538.0988</v>
      </c>
      <c r="F83" s="5">
        <v>15600</v>
      </c>
      <c r="G83" s="5">
        <f t="shared" si="15"/>
        <v>3649.7136</v>
      </c>
      <c r="H83" s="5">
        <f t="shared" si="18"/>
        <v>17900</v>
      </c>
      <c r="I83" s="5">
        <f t="shared" si="19"/>
        <v>4187.8124</v>
      </c>
      <c r="J83" s="5">
        <v>17900</v>
      </c>
      <c r="K83" s="5">
        <f t="shared" si="20"/>
        <v>4187.8124</v>
      </c>
      <c r="L83" s="12">
        <f t="shared" si="21"/>
        <v>1</v>
      </c>
      <c r="Q83" s="5">
        <f t="shared" si="12"/>
        <v>28108.700000000004</v>
      </c>
      <c r="R83" s="5">
        <v>6576.1990172000005</v>
      </c>
    </row>
    <row r="84" spans="1:18" ht="12.75">
      <c r="A84" s="11">
        <v>1547</v>
      </c>
      <c r="B84" s="5">
        <v>2000</v>
      </c>
      <c r="C84" s="5">
        <f t="shared" si="17"/>
        <v>467.912</v>
      </c>
      <c r="H84" s="5">
        <f t="shared" si="18"/>
        <v>2000</v>
      </c>
      <c r="I84" s="5">
        <f t="shared" si="19"/>
        <v>467.912</v>
      </c>
      <c r="Q84" s="5">
        <f t="shared" si="12"/>
        <v>28108.700000000004</v>
      </c>
      <c r="R84" s="5">
        <v>6576.1990172000005</v>
      </c>
    </row>
    <row r="85" spans="1:18" ht="12.75">
      <c r="A85" s="11">
        <v>1548</v>
      </c>
      <c r="B85" s="5">
        <v>2000</v>
      </c>
      <c r="C85" s="5">
        <f t="shared" si="17"/>
        <v>467.912</v>
      </c>
      <c r="H85" s="5">
        <f t="shared" si="18"/>
        <v>2000</v>
      </c>
      <c r="I85" s="5">
        <f t="shared" si="19"/>
        <v>467.912</v>
      </c>
      <c r="Q85" s="5">
        <f t="shared" si="12"/>
        <v>28108.700000000004</v>
      </c>
      <c r="R85" s="5">
        <v>6576.1990172000005</v>
      </c>
    </row>
    <row r="86" spans="1:18" ht="12.75">
      <c r="A86" s="11">
        <v>1549</v>
      </c>
      <c r="B86" s="5">
        <v>2000</v>
      </c>
      <c r="C86" s="5">
        <f t="shared" si="17"/>
        <v>467.912</v>
      </c>
      <c r="H86" s="5">
        <f t="shared" si="18"/>
        <v>2000</v>
      </c>
      <c r="I86" s="5">
        <f t="shared" si="19"/>
        <v>467.912</v>
      </c>
      <c r="O86" s="5">
        <v>28108.7</v>
      </c>
      <c r="P86" s="5">
        <f>O86*0.233956</f>
        <v>6576.1990172000005</v>
      </c>
      <c r="Q86" s="5">
        <f t="shared" si="12"/>
        <v>28108.700000000004</v>
      </c>
      <c r="R86" s="5">
        <v>6576.1990172000005</v>
      </c>
    </row>
    <row r="87" spans="1:18" ht="12.75">
      <c r="A87" s="11">
        <v>1550</v>
      </c>
      <c r="B87" s="5">
        <v>2000</v>
      </c>
      <c r="C87" s="5">
        <f t="shared" si="17"/>
        <v>467.912</v>
      </c>
      <c r="H87" s="5">
        <f t="shared" si="18"/>
        <v>2000</v>
      </c>
      <c r="I87" s="5">
        <f t="shared" si="19"/>
        <v>467.912</v>
      </c>
      <c r="Q87" s="5">
        <f t="shared" si="12"/>
        <v>28108.700000000004</v>
      </c>
      <c r="R87" s="5">
        <v>6576.1990172000005</v>
      </c>
    </row>
    <row r="90" spans="22:24" ht="12.75">
      <c r="V90" s="9">
        <f>SUM(V31:V89)</f>
        <v>497890</v>
      </c>
      <c r="W90" s="5">
        <f>SUM(W31:W89)</f>
        <v>130989.75274927585</v>
      </c>
      <c r="X90">
        <f>W90/V90</f>
        <v>0.26308974421915654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2.7109375" style="0" customWidth="1"/>
    <col min="3" max="3" width="12.140625" style="0" customWidth="1"/>
    <col min="4" max="4" width="9.7109375" style="0" customWidth="1"/>
    <col min="5" max="5" width="13.421875" style="0" customWidth="1"/>
    <col min="6" max="6" width="16.140625" style="0" customWidth="1"/>
    <col min="7" max="7" width="11.7109375" style="0" customWidth="1"/>
    <col min="8" max="8" width="14.00390625" style="0" customWidth="1"/>
    <col min="10" max="10" width="9.7109375" style="0" customWidth="1"/>
  </cols>
  <sheetData>
    <row r="1" spans="1:10" ht="12.75">
      <c r="A1" s="1"/>
      <c r="B1" s="4" t="s">
        <v>310</v>
      </c>
      <c r="C1" s="6"/>
      <c r="D1" s="5"/>
      <c r="E1" s="6"/>
      <c r="F1" s="5"/>
      <c r="G1" s="5"/>
      <c r="H1" s="6"/>
      <c r="I1" s="5"/>
      <c r="J1" s="4"/>
    </row>
    <row r="2" spans="1:10" ht="12.75">
      <c r="A2" s="1"/>
      <c r="B2" s="4" t="s">
        <v>336</v>
      </c>
      <c r="C2" s="6"/>
      <c r="D2" s="5"/>
      <c r="E2" s="6"/>
      <c r="F2" s="5"/>
      <c r="G2" s="5"/>
      <c r="H2" s="6"/>
      <c r="I2" s="5"/>
      <c r="J2" s="4"/>
    </row>
    <row r="3" spans="1:10" ht="12.75">
      <c r="A3" s="1"/>
      <c r="B3" s="5"/>
      <c r="C3" s="6"/>
      <c r="D3" s="5"/>
      <c r="E3" s="6"/>
      <c r="F3" s="5"/>
      <c r="G3" s="5"/>
      <c r="H3" s="6"/>
      <c r="I3" s="5"/>
      <c r="J3" s="4"/>
    </row>
    <row r="4" spans="1:10" ht="12.75">
      <c r="A4" s="1" t="s">
        <v>577</v>
      </c>
      <c r="B4" s="4" t="s">
        <v>505</v>
      </c>
      <c r="C4" s="7" t="s">
        <v>537</v>
      </c>
      <c r="D4" s="4" t="s">
        <v>544</v>
      </c>
      <c r="E4" s="7" t="s">
        <v>244</v>
      </c>
      <c r="F4" s="4" t="s">
        <v>5</v>
      </c>
      <c r="G4" s="4" t="s">
        <v>524</v>
      </c>
      <c r="H4" s="7" t="s">
        <v>317</v>
      </c>
      <c r="I4" s="4"/>
      <c r="J4" s="4" t="s">
        <v>552</v>
      </c>
    </row>
    <row r="5" spans="1:10" ht="12.75">
      <c r="A5" s="1"/>
      <c r="B5" s="4" t="s">
        <v>508</v>
      </c>
      <c r="C5" s="7" t="s">
        <v>275</v>
      </c>
      <c r="D5" s="4" t="s">
        <v>509</v>
      </c>
      <c r="E5" s="7" t="s">
        <v>363</v>
      </c>
      <c r="F5" s="4" t="s">
        <v>390</v>
      </c>
      <c r="G5" s="4" t="s">
        <v>539</v>
      </c>
      <c r="H5" s="8" t="s">
        <v>450</v>
      </c>
      <c r="I5" s="4"/>
      <c r="J5" s="4"/>
    </row>
    <row r="6" spans="1:10" ht="12.75">
      <c r="A6" s="1"/>
      <c r="B6" s="4" t="s">
        <v>209</v>
      </c>
      <c r="C6" s="7" t="s">
        <v>316</v>
      </c>
      <c r="D6" s="4"/>
      <c r="E6" s="7"/>
      <c r="F6" s="4" t="s">
        <v>383</v>
      </c>
      <c r="G6" s="4" t="s">
        <v>308</v>
      </c>
      <c r="H6" s="7" t="s">
        <v>8</v>
      </c>
      <c r="I6" s="4"/>
      <c r="J6" s="4"/>
    </row>
    <row r="7" spans="1:10" ht="12.75">
      <c r="A7" s="1"/>
      <c r="B7" s="4" t="s">
        <v>407</v>
      </c>
      <c r="C7" s="7"/>
      <c r="D7" s="4"/>
      <c r="E7" s="7"/>
      <c r="F7" s="4"/>
      <c r="G7" s="4"/>
      <c r="H7" s="7"/>
      <c r="I7" s="4"/>
      <c r="J7" s="4"/>
    </row>
    <row r="8" spans="1:10" ht="12.75">
      <c r="A8" s="1"/>
      <c r="B8" s="5"/>
      <c r="C8" s="6"/>
      <c r="D8" s="5"/>
      <c r="E8" s="6"/>
      <c r="F8" s="5"/>
      <c r="G8" s="5"/>
      <c r="H8" s="6"/>
      <c r="I8" s="5"/>
      <c r="J8" s="4"/>
    </row>
    <row r="9" spans="1:10" ht="12.75">
      <c r="A9" s="1" t="s">
        <v>15</v>
      </c>
      <c r="B9" s="5">
        <v>6188.15</v>
      </c>
      <c r="C9" s="6"/>
      <c r="D9" s="5">
        <v>5733.25</v>
      </c>
      <c r="E9" s="6"/>
      <c r="F9" s="5">
        <v>4050</v>
      </c>
      <c r="G9" s="5"/>
      <c r="H9" s="6"/>
      <c r="I9" s="4"/>
      <c r="J9" s="4">
        <v>15971.4</v>
      </c>
    </row>
    <row r="10" spans="1:10" ht="12.75">
      <c r="A10" s="1" t="s">
        <v>22</v>
      </c>
      <c r="B10" s="5">
        <v>4183.15</v>
      </c>
      <c r="C10" s="6"/>
      <c r="D10" s="5">
        <v>11248.4</v>
      </c>
      <c r="E10" s="6"/>
      <c r="F10" s="5">
        <v>3875</v>
      </c>
      <c r="G10" s="5"/>
      <c r="H10" s="6">
        <v>2661.5</v>
      </c>
      <c r="I10" s="4"/>
      <c r="J10" s="4">
        <v>21968.05</v>
      </c>
    </row>
    <row r="11" spans="1:10" ht="12.75">
      <c r="A11" s="1" t="s">
        <v>29</v>
      </c>
      <c r="B11" s="5">
        <v>3937.5</v>
      </c>
      <c r="C11" s="6"/>
      <c r="D11" s="5">
        <v>12258.625</v>
      </c>
      <c r="E11" s="6"/>
      <c r="F11" s="5">
        <v>3375</v>
      </c>
      <c r="G11" s="5">
        <v>916.512253542665</v>
      </c>
      <c r="H11" s="6">
        <v>3659.4285714285716</v>
      </c>
      <c r="I11" s="4"/>
      <c r="J11" s="4">
        <v>24147.065824971236</v>
      </c>
    </row>
    <row r="12" spans="1:10" ht="12.75">
      <c r="A12" s="1" t="s">
        <v>35</v>
      </c>
      <c r="B12" s="5">
        <v>7912.4</v>
      </c>
      <c r="C12" s="6">
        <v>4509</v>
      </c>
      <c r="D12" s="5">
        <v>11602.125</v>
      </c>
      <c r="E12" s="6"/>
      <c r="F12" s="5">
        <v>2875</v>
      </c>
      <c r="G12" s="5">
        <v>2970.564181364054</v>
      </c>
      <c r="H12" s="6">
        <v>4205.142857142857</v>
      </c>
      <c r="I12" s="4"/>
      <c r="J12" s="4">
        <v>34074.23203850691</v>
      </c>
    </row>
    <row r="13" spans="1:10" ht="12.75">
      <c r="A13" s="1" t="s">
        <v>42</v>
      </c>
      <c r="B13" s="5">
        <v>6379.95</v>
      </c>
      <c r="C13" s="6">
        <v>5673.75</v>
      </c>
      <c r="D13" s="5">
        <v>10945.625</v>
      </c>
      <c r="E13" s="6">
        <v>1086.1</v>
      </c>
      <c r="F13" s="5">
        <v>2375</v>
      </c>
      <c r="G13" s="5">
        <v>2822.473345397085</v>
      </c>
      <c r="H13" s="6">
        <v>4750.857142857143</v>
      </c>
      <c r="I13" s="4"/>
      <c r="J13" s="4">
        <v>34033.755488254224</v>
      </c>
    </row>
    <row r="14" spans="1:10" ht="12.75">
      <c r="A14" s="1" t="s">
        <v>49</v>
      </c>
      <c r="B14" s="5">
        <v>3609.95</v>
      </c>
      <c r="C14" s="6">
        <v>6915.9</v>
      </c>
      <c r="D14" s="5">
        <v>10289.125</v>
      </c>
      <c r="E14" s="6">
        <v>11425.5</v>
      </c>
      <c r="F14" s="5">
        <v>2000</v>
      </c>
      <c r="G14" s="5">
        <v>2247.358518197574</v>
      </c>
      <c r="H14" s="6">
        <v>5296.571428571429</v>
      </c>
      <c r="I14" s="4"/>
      <c r="J14" s="4">
        <v>41784.404946769</v>
      </c>
    </row>
    <row r="15" spans="1:10" ht="12.75">
      <c r="A15" s="1" t="s">
        <v>55</v>
      </c>
      <c r="B15" s="5">
        <v>9629.599999999999</v>
      </c>
      <c r="C15" s="6">
        <v>6191.7</v>
      </c>
      <c r="D15" s="5">
        <v>10125</v>
      </c>
      <c r="E15" s="6">
        <v>14746.65</v>
      </c>
      <c r="F15" s="5">
        <v>2273.5</v>
      </c>
      <c r="G15" s="5">
        <v>2119.349883780202</v>
      </c>
      <c r="H15" s="6">
        <v>5433</v>
      </c>
      <c r="I15" s="5"/>
      <c r="J15" s="4">
        <v>50518.7998837802</v>
      </c>
    </row>
    <row r="16" spans="1:10" ht="12.75">
      <c r="A16" s="1" t="s">
        <v>62</v>
      </c>
      <c r="B16" s="5">
        <v>7700.65</v>
      </c>
      <c r="C16" s="6">
        <v>5669.6</v>
      </c>
      <c r="D16" s="5">
        <f>D15*(D15/D14)</f>
        <v>9963.493008394786</v>
      </c>
      <c r="E16" s="6">
        <v>11537.2</v>
      </c>
      <c r="F16" s="5">
        <v>1998.5</v>
      </c>
      <c r="G16" s="5">
        <v>1008.791817718422</v>
      </c>
      <c r="H16" s="6">
        <v>5433</v>
      </c>
      <c r="I16" s="5"/>
      <c r="J16" s="4">
        <f>SUM(B16:I16)</f>
        <v>43311.2348261132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P95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6.57421875" style="11" customWidth="1"/>
    <col min="2" max="2" width="9.421875" style="2" customWidth="1"/>
    <col min="3" max="3" width="11.28125" style="2" customWidth="1"/>
    <col min="4" max="4" width="9.140625" style="2" customWidth="1"/>
    <col min="5" max="5" width="11.28125" style="2" customWidth="1"/>
    <col min="6" max="6" width="9.7109375" style="2" customWidth="1"/>
    <col min="7" max="7" width="11.28125" style="2" customWidth="1"/>
    <col min="8" max="8" width="10.57421875" style="9" customWidth="1"/>
    <col min="9" max="9" width="14.8515625" style="2" customWidth="1"/>
    <col min="10" max="10" width="14.28125" style="2" customWidth="1"/>
    <col min="11" max="11" width="14.8515625" style="2" customWidth="1"/>
    <col min="12" max="12" width="10.57421875" style="2" customWidth="1"/>
    <col min="13" max="13" width="10.57421875" style="12" customWidth="1"/>
    <col min="14" max="14" width="14.8515625" style="2" customWidth="1"/>
    <col min="15" max="15" width="12.00390625" style="2" customWidth="1"/>
    <col min="16" max="16" width="12.00390625" style="12" customWidth="1"/>
  </cols>
  <sheetData>
    <row r="1" ht="12.75">
      <c r="B1" s="3" t="s">
        <v>249</v>
      </c>
    </row>
    <row r="3" spans="1:16" ht="12.75">
      <c r="A3" s="11" t="s">
        <v>577</v>
      </c>
      <c r="B3" s="3" t="s">
        <v>509</v>
      </c>
      <c r="C3" s="3" t="s">
        <v>509</v>
      </c>
      <c r="D3" s="3" t="s">
        <v>523</v>
      </c>
      <c r="E3" s="3" t="s">
        <v>523</v>
      </c>
      <c r="F3" s="3" t="s">
        <v>275</v>
      </c>
      <c r="G3" s="3" t="s">
        <v>275</v>
      </c>
      <c r="H3" s="10" t="s">
        <v>552</v>
      </c>
      <c r="I3" s="3" t="s">
        <v>289</v>
      </c>
      <c r="J3" s="3" t="s">
        <v>289</v>
      </c>
      <c r="K3" s="3" t="s">
        <v>550</v>
      </c>
      <c r="L3" s="3" t="s">
        <v>550</v>
      </c>
      <c r="M3" s="14" t="s">
        <v>550</v>
      </c>
      <c r="N3" s="3" t="s">
        <v>545</v>
      </c>
      <c r="O3" s="3" t="s">
        <v>545</v>
      </c>
      <c r="P3" s="14" t="s">
        <v>545</v>
      </c>
    </row>
    <row r="4" spans="2:16" ht="12.75">
      <c r="B4" s="2" t="s">
        <v>582</v>
      </c>
      <c r="C4" s="2" t="s">
        <v>384</v>
      </c>
      <c r="D4" s="2" t="s">
        <v>255</v>
      </c>
      <c r="E4" s="2" t="s">
        <v>384</v>
      </c>
      <c r="F4" s="2" t="s">
        <v>582</v>
      </c>
      <c r="G4" s="2" t="s">
        <v>386</v>
      </c>
      <c r="H4" s="10" t="s">
        <v>279</v>
      </c>
      <c r="I4" s="3" t="s">
        <v>7</v>
      </c>
      <c r="J4" s="3" t="s">
        <v>384</v>
      </c>
      <c r="K4" s="3" t="s">
        <v>7</v>
      </c>
      <c r="L4" s="3" t="s">
        <v>384</v>
      </c>
      <c r="M4" s="14" t="s">
        <v>471</v>
      </c>
      <c r="N4" s="3" t="s">
        <v>7</v>
      </c>
      <c r="O4" s="3" t="s">
        <v>384</v>
      </c>
      <c r="P4" s="14" t="s">
        <v>471</v>
      </c>
    </row>
    <row r="6" spans="1:8" ht="12.75">
      <c r="A6" s="11">
        <v>1471</v>
      </c>
      <c r="B6" s="2">
        <v>22976</v>
      </c>
      <c r="C6" s="2">
        <f aca="true" t="shared" si="0" ref="C6:C37">B6*56</f>
        <v>1286656</v>
      </c>
      <c r="H6" s="9">
        <f aca="true" t="shared" si="1" ref="H6:H37">C6+E6+G6</f>
        <v>1286656</v>
      </c>
    </row>
    <row r="7" spans="1:8" ht="12.75">
      <c r="A7" s="11">
        <v>1472</v>
      </c>
      <c r="B7" s="2">
        <v>22976</v>
      </c>
      <c r="C7" s="2">
        <f t="shared" si="0"/>
        <v>1286656</v>
      </c>
      <c r="H7" s="9">
        <f t="shared" si="1"/>
        <v>1286656</v>
      </c>
    </row>
    <row r="8" spans="1:8" ht="12.75">
      <c r="A8" s="11">
        <v>1473</v>
      </c>
      <c r="B8" s="2">
        <v>22976</v>
      </c>
      <c r="C8" s="2">
        <f t="shared" si="0"/>
        <v>1286656</v>
      </c>
      <c r="H8" s="9">
        <f t="shared" si="1"/>
        <v>1286656</v>
      </c>
    </row>
    <row r="9" spans="1:8" ht="12.75">
      <c r="A9" s="11">
        <v>1474</v>
      </c>
      <c r="B9" s="2">
        <v>22976</v>
      </c>
      <c r="C9" s="2">
        <f t="shared" si="0"/>
        <v>1286656</v>
      </c>
      <c r="H9" s="9">
        <f t="shared" si="1"/>
        <v>1286656</v>
      </c>
    </row>
    <row r="10" spans="1:8" ht="12.75">
      <c r="A10" s="11">
        <v>1475</v>
      </c>
      <c r="B10" s="2">
        <v>22976</v>
      </c>
      <c r="C10" s="2">
        <f t="shared" si="0"/>
        <v>1286656</v>
      </c>
      <c r="H10" s="9">
        <f t="shared" si="1"/>
        <v>1286656</v>
      </c>
    </row>
    <row r="11" spans="1:8" ht="12.75">
      <c r="A11" s="11">
        <v>1476</v>
      </c>
      <c r="B11" s="2">
        <v>22976</v>
      </c>
      <c r="C11" s="2">
        <f t="shared" si="0"/>
        <v>1286656</v>
      </c>
      <c r="H11" s="9">
        <f t="shared" si="1"/>
        <v>1286656</v>
      </c>
    </row>
    <row r="12" spans="1:8" ht="12.75">
      <c r="A12" s="11">
        <v>1477</v>
      </c>
      <c r="B12" s="2">
        <v>22976</v>
      </c>
      <c r="C12" s="2">
        <f t="shared" si="0"/>
        <v>1286656</v>
      </c>
      <c r="H12" s="9">
        <f t="shared" si="1"/>
        <v>1286656</v>
      </c>
    </row>
    <row r="13" spans="1:8" ht="12.75">
      <c r="A13" s="11">
        <v>1478</v>
      </c>
      <c r="B13" s="2">
        <v>22976</v>
      </c>
      <c r="C13" s="2">
        <f t="shared" si="0"/>
        <v>1286656</v>
      </c>
      <c r="H13" s="9">
        <f t="shared" si="1"/>
        <v>1286656</v>
      </c>
    </row>
    <row r="14" spans="1:8" ht="12.75">
      <c r="A14" s="11">
        <v>1479</v>
      </c>
      <c r="B14" s="2">
        <v>22976</v>
      </c>
      <c r="C14" s="2">
        <f t="shared" si="0"/>
        <v>1286656</v>
      </c>
      <c r="H14" s="9">
        <f t="shared" si="1"/>
        <v>1286656</v>
      </c>
    </row>
    <row r="15" spans="1:8" ht="12.75">
      <c r="A15" s="11">
        <v>1480</v>
      </c>
      <c r="B15" s="2">
        <v>22976</v>
      </c>
      <c r="C15" s="2">
        <f t="shared" si="0"/>
        <v>1286656</v>
      </c>
      <c r="H15" s="9">
        <f t="shared" si="1"/>
        <v>1286656</v>
      </c>
    </row>
    <row r="16" spans="1:8" ht="12.75">
      <c r="A16" s="11">
        <v>1481</v>
      </c>
      <c r="B16" s="2">
        <v>25009</v>
      </c>
      <c r="C16" s="2">
        <f t="shared" si="0"/>
        <v>1400504</v>
      </c>
      <c r="H16" s="9">
        <f t="shared" si="1"/>
        <v>1400504</v>
      </c>
    </row>
    <row r="17" spans="1:8" ht="12.75">
      <c r="A17" s="11">
        <v>1482</v>
      </c>
      <c r="B17" s="2">
        <v>25009</v>
      </c>
      <c r="C17" s="2">
        <f t="shared" si="0"/>
        <v>1400504</v>
      </c>
      <c r="H17" s="9">
        <f t="shared" si="1"/>
        <v>1400504</v>
      </c>
    </row>
    <row r="18" spans="1:8" ht="12.75">
      <c r="A18" s="11">
        <v>1483</v>
      </c>
      <c r="B18" s="2">
        <v>25009</v>
      </c>
      <c r="C18" s="2">
        <f t="shared" si="0"/>
        <v>1400504</v>
      </c>
      <c r="H18" s="9">
        <f t="shared" si="1"/>
        <v>1400504</v>
      </c>
    </row>
    <row r="19" spans="1:8" ht="12.75">
      <c r="A19" s="11">
        <v>1484</v>
      </c>
      <c r="B19" s="2">
        <v>25009</v>
      </c>
      <c r="C19" s="2">
        <f t="shared" si="0"/>
        <v>1400504</v>
      </c>
      <c r="H19" s="9">
        <f t="shared" si="1"/>
        <v>1400504</v>
      </c>
    </row>
    <row r="20" spans="1:8" ht="12.75">
      <c r="A20" s="11">
        <v>1485</v>
      </c>
      <c r="B20" s="2">
        <v>25009</v>
      </c>
      <c r="C20" s="2">
        <f t="shared" si="0"/>
        <v>1400504</v>
      </c>
      <c r="H20" s="9">
        <f t="shared" si="1"/>
        <v>1400504</v>
      </c>
    </row>
    <row r="21" spans="1:8" ht="12.75">
      <c r="A21" s="11">
        <v>1486</v>
      </c>
      <c r="B21" s="2">
        <v>25009</v>
      </c>
      <c r="C21" s="2">
        <f t="shared" si="0"/>
        <v>1400504</v>
      </c>
      <c r="H21" s="9">
        <f t="shared" si="1"/>
        <v>1400504</v>
      </c>
    </row>
    <row r="22" spans="1:8" ht="12.75">
      <c r="A22" s="11">
        <v>1487</v>
      </c>
      <c r="B22" s="2">
        <v>25009</v>
      </c>
      <c r="C22" s="2">
        <f t="shared" si="0"/>
        <v>1400504</v>
      </c>
      <c r="H22" s="9">
        <f t="shared" si="1"/>
        <v>1400504</v>
      </c>
    </row>
    <row r="23" spans="1:8" ht="12.75">
      <c r="A23" s="11">
        <v>1488</v>
      </c>
      <c r="B23" s="2">
        <v>25009</v>
      </c>
      <c r="C23" s="2">
        <f t="shared" si="0"/>
        <v>1400504</v>
      </c>
      <c r="H23" s="9">
        <f t="shared" si="1"/>
        <v>1400504</v>
      </c>
    </row>
    <row r="24" spans="1:8" ht="12.75">
      <c r="A24" s="11">
        <v>1489</v>
      </c>
      <c r="B24" s="2">
        <v>25009</v>
      </c>
      <c r="C24" s="2">
        <f t="shared" si="0"/>
        <v>1400504</v>
      </c>
      <c r="H24" s="9">
        <f t="shared" si="1"/>
        <v>1400504</v>
      </c>
    </row>
    <row r="25" spans="1:8" ht="12.75">
      <c r="A25" s="11">
        <v>1490</v>
      </c>
      <c r="B25" s="2">
        <v>25009</v>
      </c>
      <c r="C25" s="2">
        <f t="shared" si="0"/>
        <v>1400504</v>
      </c>
      <c r="H25" s="9">
        <f t="shared" si="1"/>
        <v>1400504</v>
      </c>
    </row>
    <row r="26" spans="1:8" ht="12.75">
      <c r="A26" s="11">
        <v>1491</v>
      </c>
      <c r="B26" s="2">
        <v>26749</v>
      </c>
      <c r="C26" s="2">
        <f t="shared" si="0"/>
        <v>1497944</v>
      </c>
      <c r="H26" s="9">
        <f t="shared" si="1"/>
        <v>1497944</v>
      </c>
    </row>
    <row r="27" spans="1:8" ht="12.75">
      <c r="A27" s="11">
        <v>1492</v>
      </c>
      <c r="B27" s="2">
        <v>26749</v>
      </c>
      <c r="C27" s="2">
        <f t="shared" si="0"/>
        <v>1497944</v>
      </c>
      <c r="H27" s="9">
        <f t="shared" si="1"/>
        <v>1497944</v>
      </c>
    </row>
    <row r="28" spans="1:8" ht="12.75">
      <c r="A28" s="11">
        <v>1493</v>
      </c>
      <c r="B28" s="2">
        <v>26749</v>
      </c>
      <c r="C28" s="2">
        <f t="shared" si="0"/>
        <v>1497944</v>
      </c>
      <c r="H28" s="9">
        <f t="shared" si="1"/>
        <v>1497944</v>
      </c>
    </row>
    <row r="29" spans="1:8" ht="12.75">
      <c r="A29" s="11">
        <v>1494</v>
      </c>
      <c r="B29" s="2">
        <v>26749</v>
      </c>
      <c r="C29" s="2">
        <f t="shared" si="0"/>
        <v>1497944</v>
      </c>
      <c r="D29" s="2">
        <v>18990</v>
      </c>
      <c r="E29" s="2">
        <f aca="true" t="shared" si="2" ref="E29:E60">D29*63.56</f>
        <v>1207004.4000000001</v>
      </c>
      <c r="H29" s="9">
        <f t="shared" si="1"/>
        <v>2704948.4000000004</v>
      </c>
    </row>
    <row r="30" spans="1:8" ht="12.75">
      <c r="A30" s="11">
        <v>1495</v>
      </c>
      <c r="B30" s="2">
        <v>26749</v>
      </c>
      <c r="C30" s="2">
        <f t="shared" si="0"/>
        <v>1497944</v>
      </c>
      <c r="D30" s="2">
        <v>18990</v>
      </c>
      <c r="E30" s="2">
        <f t="shared" si="2"/>
        <v>1207004.4000000001</v>
      </c>
      <c r="H30" s="9">
        <f t="shared" si="1"/>
        <v>2704948.4000000004</v>
      </c>
    </row>
    <row r="31" spans="1:8" ht="12.75">
      <c r="A31" s="11">
        <v>1496</v>
      </c>
      <c r="B31" s="2">
        <v>26749</v>
      </c>
      <c r="C31" s="2">
        <f t="shared" si="0"/>
        <v>1497944</v>
      </c>
      <c r="D31" s="2">
        <v>18990</v>
      </c>
      <c r="E31" s="2">
        <f t="shared" si="2"/>
        <v>1207004.4000000001</v>
      </c>
      <c r="H31" s="9">
        <f t="shared" si="1"/>
        <v>2704948.4000000004</v>
      </c>
    </row>
    <row r="32" spans="1:16" ht="12.75">
      <c r="A32" s="11">
        <v>1497</v>
      </c>
      <c r="B32" s="2">
        <v>26749</v>
      </c>
      <c r="C32" s="2">
        <f t="shared" si="0"/>
        <v>1497944</v>
      </c>
      <c r="D32" s="2">
        <v>18990</v>
      </c>
      <c r="E32" s="2">
        <f t="shared" si="2"/>
        <v>1207004.4000000001</v>
      </c>
      <c r="H32" s="9">
        <f t="shared" si="1"/>
        <v>2704948.4000000004</v>
      </c>
      <c r="I32" s="2">
        <v>29573</v>
      </c>
      <c r="J32" s="2">
        <f aca="true" t="shared" si="3" ref="J32:J75">I32*47.0156</f>
        <v>1390392.3388</v>
      </c>
      <c r="K32" s="2">
        <v>9502</v>
      </c>
      <c r="L32" s="2">
        <f aca="true" t="shared" si="4" ref="L32:L75">K32*47.0156</f>
        <v>446742.2312</v>
      </c>
      <c r="M32" s="12">
        <f aca="true" t="shared" si="5" ref="M32:M75">L32/J32</f>
        <v>0.3213065972339634</v>
      </c>
      <c r="N32" s="2">
        <v>141</v>
      </c>
      <c r="O32" s="2">
        <f aca="true" t="shared" si="6" ref="O32:O75">N32*47.0156</f>
        <v>6629.1996</v>
      </c>
      <c r="P32" s="12">
        <f aca="true" t="shared" si="7" ref="P32:P75">O32/J32</f>
        <v>0.004767862577350962</v>
      </c>
    </row>
    <row r="33" spans="1:16" ht="12.75">
      <c r="A33" s="11">
        <v>1498</v>
      </c>
      <c r="B33" s="2">
        <v>26749</v>
      </c>
      <c r="C33" s="2">
        <f t="shared" si="0"/>
        <v>1497944</v>
      </c>
      <c r="D33" s="2">
        <v>18990</v>
      </c>
      <c r="E33" s="2">
        <f t="shared" si="2"/>
        <v>1207004.4000000001</v>
      </c>
      <c r="H33" s="9">
        <f t="shared" si="1"/>
        <v>2704948.4000000004</v>
      </c>
      <c r="I33" s="2">
        <v>29573</v>
      </c>
      <c r="J33" s="2">
        <f t="shared" si="3"/>
        <v>1390392.3388</v>
      </c>
      <c r="K33" s="2">
        <v>9502</v>
      </c>
      <c r="L33" s="2">
        <f t="shared" si="4"/>
        <v>446742.2312</v>
      </c>
      <c r="M33" s="12">
        <f t="shared" si="5"/>
        <v>0.3213065972339634</v>
      </c>
      <c r="N33" s="2">
        <v>141</v>
      </c>
      <c r="O33" s="2">
        <f t="shared" si="6"/>
        <v>6629.1996</v>
      </c>
      <c r="P33" s="12">
        <f t="shared" si="7"/>
        <v>0.004767862577350962</v>
      </c>
    </row>
    <row r="34" spans="1:16" ht="12.75">
      <c r="A34" s="11">
        <v>1499</v>
      </c>
      <c r="B34" s="2">
        <v>26749</v>
      </c>
      <c r="C34" s="2">
        <f t="shared" si="0"/>
        <v>1497944</v>
      </c>
      <c r="D34" s="2">
        <v>18990</v>
      </c>
      <c r="E34" s="2">
        <f t="shared" si="2"/>
        <v>1207004.4000000001</v>
      </c>
      <c r="H34" s="9">
        <f t="shared" si="1"/>
        <v>2704948.4000000004</v>
      </c>
      <c r="I34" s="2">
        <v>29573</v>
      </c>
      <c r="J34" s="2">
        <f t="shared" si="3"/>
        <v>1390392.3388</v>
      </c>
      <c r="K34" s="2">
        <v>9502</v>
      </c>
      <c r="L34" s="2">
        <f t="shared" si="4"/>
        <v>446742.2312</v>
      </c>
      <c r="M34" s="12">
        <f t="shared" si="5"/>
        <v>0.3213065972339634</v>
      </c>
      <c r="N34" s="2">
        <v>141</v>
      </c>
      <c r="O34" s="2">
        <f t="shared" si="6"/>
        <v>6629.1996</v>
      </c>
      <c r="P34" s="12">
        <f t="shared" si="7"/>
        <v>0.004767862577350962</v>
      </c>
    </row>
    <row r="35" spans="1:16" ht="12.75">
      <c r="A35" s="11">
        <v>1500</v>
      </c>
      <c r="B35" s="2">
        <v>26749</v>
      </c>
      <c r="C35" s="2">
        <f t="shared" si="0"/>
        <v>1497944</v>
      </c>
      <c r="D35" s="2">
        <v>18990</v>
      </c>
      <c r="E35" s="2">
        <f t="shared" si="2"/>
        <v>1207004.4000000001</v>
      </c>
      <c r="H35" s="9">
        <f t="shared" si="1"/>
        <v>2704948.4000000004</v>
      </c>
      <c r="I35" s="2">
        <v>29573</v>
      </c>
      <c r="J35" s="2">
        <f t="shared" si="3"/>
        <v>1390392.3388</v>
      </c>
      <c r="K35" s="2">
        <v>9502</v>
      </c>
      <c r="L35" s="2">
        <f t="shared" si="4"/>
        <v>446742.2312</v>
      </c>
      <c r="M35" s="12">
        <f t="shared" si="5"/>
        <v>0.3213065972339634</v>
      </c>
      <c r="N35" s="2">
        <v>7151</v>
      </c>
      <c r="O35" s="2">
        <f t="shared" si="6"/>
        <v>336208.5556</v>
      </c>
      <c r="P35" s="12">
        <f t="shared" si="7"/>
        <v>0.24180840631657255</v>
      </c>
    </row>
    <row r="36" spans="1:16" ht="12.75">
      <c r="A36" s="11">
        <v>1501</v>
      </c>
      <c r="B36" s="2">
        <v>28171</v>
      </c>
      <c r="C36" s="2">
        <f t="shared" si="0"/>
        <v>1577576</v>
      </c>
      <c r="D36" s="2">
        <v>18990</v>
      </c>
      <c r="E36" s="2">
        <f t="shared" si="2"/>
        <v>1207004.4000000001</v>
      </c>
      <c r="H36" s="9">
        <f t="shared" si="1"/>
        <v>2784580.4000000004</v>
      </c>
      <c r="I36" s="2">
        <v>29573</v>
      </c>
      <c r="J36" s="2">
        <f t="shared" si="3"/>
        <v>1390392.3388</v>
      </c>
      <c r="K36" s="2">
        <v>9502</v>
      </c>
      <c r="L36" s="2">
        <f t="shared" si="4"/>
        <v>446742.2312</v>
      </c>
      <c r="M36" s="12">
        <f t="shared" si="5"/>
        <v>0.3213065972339634</v>
      </c>
      <c r="N36" s="2">
        <v>7151</v>
      </c>
      <c r="O36" s="2">
        <f t="shared" si="6"/>
        <v>336208.5556</v>
      </c>
      <c r="P36" s="12">
        <f t="shared" si="7"/>
        <v>0.24180840631657255</v>
      </c>
    </row>
    <row r="37" spans="1:16" ht="12.75">
      <c r="A37" s="11">
        <v>1502</v>
      </c>
      <c r="B37" s="2">
        <v>28171</v>
      </c>
      <c r="C37" s="2">
        <f t="shared" si="0"/>
        <v>1577576</v>
      </c>
      <c r="D37" s="2">
        <v>18990</v>
      </c>
      <c r="E37" s="2">
        <f t="shared" si="2"/>
        <v>1207004.4000000001</v>
      </c>
      <c r="H37" s="9">
        <f t="shared" si="1"/>
        <v>2784580.4000000004</v>
      </c>
      <c r="I37" s="2">
        <v>29573</v>
      </c>
      <c r="J37" s="2">
        <f t="shared" si="3"/>
        <v>1390392.3388</v>
      </c>
      <c r="K37" s="2">
        <v>9502</v>
      </c>
      <c r="L37" s="2">
        <f t="shared" si="4"/>
        <v>446742.2312</v>
      </c>
      <c r="M37" s="12">
        <f t="shared" si="5"/>
        <v>0.3213065972339634</v>
      </c>
      <c r="N37" s="2">
        <v>7151</v>
      </c>
      <c r="O37" s="2">
        <f t="shared" si="6"/>
        <v>336208.5556</v>
      </c>
      <c r="P37" s="12">
        <f t="shared" si="7"/>
        <v>0.24180840631657255</v>
      </c>
    </row>
    <row r="38" spans="1:16" ht="12.75">
      <c r="A38" s="11">
        <v>1503</v>
      </c>
      <c r="B38" s="2">
        <v>28171</v>
      </c>
      <c r="C38" s="2">
        <f aca="true" t="shared" si="8" ref="C38:C69">B38*56</f>
        <v>1577576</v>
      </c>
      <c r="D38" s="2">
        <v>18990</v>
      </c>
      <c r="E38" s="2">
        <f t="shared" si="2"/>
        <v>1207004.4000000001</v>
      </c>
      <c r="H38" s="9">
        <f aca="true" t="shared" si="9" ref="H38:H69">C38+E38+G38</f>
        <v>2784580.4000000004</v>
      </c>
      <c r="I38" s="2">
        <v>29573</v>
      </c>
      <c r="J38" s="2">
        <f t="shared" si="3"/>
        <v>1390392.3388</v>
      </c>
      <c r="K38" s="2">
        <v>9502</v>
      </c>
      <c r="L38" s="2">
        <f t="shared" si="4"/>
        <v>446742.2312</v>
      </c>
      <c r="M38" s="12">
        <f t="shared" si="5"/>
        <v>0.3213065972339634</v>
      </c>
      <c r="N38" s="2">
        <f>(N37+N39)/2</f>
        <v>9233.25</v>
      </c>
      <c r="O38" s="2">
        <f t="shared" si="6"/>
        <v>434106.7887</v>
      </c>
      <c r="P38" s="12">
        <f t="shared" si="7"/>
        <v>0.31221891590301964</v>
      </c>
    </row>
    <row r="39" spans="1:16" ht="12.75">
      <c r="A39" s="11">
        <v>1504</v>
      </c>
      <c r="B39" s="2">
        <v>28171</v>
      </c>
      <c r="C39" s="2">
        <f t="shared" si="8"/>
        <v>1577576</v>
      </c>
      <c r="D39" s="2">
        <v>29108</v>
      </c>
      <c r="E39" s="2">
        <f t="shared" si="2"/>
        <v>1850104.48</v>
      </c>
      <c r="H39" s="9">
        <f t="shared" si="9"/>
        <v>3427680.48</v>
      </c>
      <c r="I39" s="2">
        <f>(I38+I40)/2</f>
        <v>30032.25</v>
      </c>
      <c r="J39" s="2">
        <f t="shared" si="3"/>
        <v>1411984.2531</v>
      </c>
      <c r="K39" s="2">
        <f>(K38+K40)/2</f>
        <v>8176.75</v>
      </c>
      <c r="L39" s="2">
        <f t="shared" si="4"/>
        <v>384434.8073</v>
      </c>
      <c r="M39" s="12">
        <f t="shared" si="5"/>
        <v>0.2722656477619892</v>
      </c>
      <c r="N39" s="2">
        <f>(N37+N42)/2</f>
        <v>11315.5</v>
      </c>
      <c r="O39" s="2">
        <f t="shared" si="6"/>
        <v>532005.0218</v>
      </c>
      <c r="P39" s="12">
        <f t="shared" si="7"/>
        <v>0.37677829666441903</v>
      </c>
    </row>
    <row r="40" spans="1:16" ht="12.75">
      <c r="A40" s="11">
        <v>1505</v>
      </c>
      <c r="B40" s="2">
        <v>28171</v>
      </c>
      <c r="C40" s="2">
        <f t="shared" si="8"/>
        <v>1577576</v>
      </c>
      <c r="D40" s="2">
        <v>29108</v>
      </c>
      <c r="E40" s="2">
        <f t="shared" si="2"/>
        <v>1850104.48</v>
      </c>
      <c r="H40" s="9">
        <f t="shared" si="9"/>
        <v>3427680.48</v>
      </c>
      <c r="I40" s="2">
        <f>(I38+I42)/2</f>
        <v>30491.5</v>
      </c>
      <c r="J40" s="2">
        <f t="shared" si="3"/>
        <v>1433576.1674</v>
      </c>
      <c r="K40" s="2">
        <f>(K38+K42)/2</f>
        <v>6851.5</v>
      </c>
      <c r="L40" s="2">
        <f t="shared" si="4"/>
        <v>322127.3834</v>
      </c>
      <c r="M40" s="12">
        <f t="shared" si="5"/>
        <v>0.22470196612170606</v>
      </c>
      <c r="N40" s="2">
        <f>(N39+N42)/2</f>
        <v>13397.75</v>
      </c>
      <c r="O40" s="2">
        <f t="shared" si="6"/>
        <v>629903.2548999999</v>
      </c>
      <c r="P40" s="12">
        <f t="shared" si="7"/>
        <v>0.4393929455749963</v>
      </c>
    </row>
    <row r="41" spans="1:16" ht="12.75">
      <c r="A41" s="11">
        <v>1506</v>
      </c>
      <c r="B41" s="2">
        <v>28171</v>
      </c>
      <c r="C41" s="2">
        <f t="shared" si="8"/>
        <v>1577576</v>
      </c>
      <c r="D41" s="2">
        <v>29108</v>
      </c>
      <c r="E41" s="2">
        <f t="shared" si="2"/>
        <v>1850104.48</v>
      </c>
      <c r="F41" s="2">
        <v>21948.5</v>
      </c>
      <c r="G41" s="2">
        <f aca="true" t="shared" si="10" ref="G41:G72">(125.63*0.470156)*F41</f>
        <v>1296403.47869858</v>
      </c>
      <c r="H41" s="9">
        <f t="shared" si="9"/>
        <v>4724083.95869858</v>
      </c>
      <c r="I41" s="2">
        <f>(I40+I42)/2</f>
        <v>30950.75</v>
      </c>
      <c r="J41" s="2">
        <f t="shared" si="3"/>
        <v>1455168.0817</v>
      </c>
      <c r="K41" s="2">
        <f>(K40+K42)/2</f>
        <v>5526.25</v>
      </c>
      <c r="L41" s="2">
        <f t="shared" si="4"/>
        <v>259819.9595</v>
      </c>
      <c r="M41" s="12">
        <f t="shared" si="5"/>
        <v>0.17854979281600608</v>
      </c>
      <c r="N41" s="2">
        <f>(N40+N42)/2</f>
        <v>14438.875</v>
      </c>
      <c r="O41" s="2">
        <f t="shared" si="6"/>
        <v>678852.37145</v>
      </c>
      <c r="P41" s="12">
        <f t="shared" si="7"/>
        <v>0.46651131232684184</v>
      </c>
    </row>
    <row r="42" spans="1:16" ht="12.75">
      <c r="A42" s="11">
        <v>1507</v>
      </c>
      <c r="B42" s="2">
        <v>28171</v>
      </c>
      <c r="C42" s="2">
        <f t="shared" si="8"/>
        <v>1577576</v>
      </c>
      <c r="D42" s="2">
        <v>22500</v>
      </c>
      <c r="E42" s="2">
        <f t="shared" si="2"/>
        <v>1430100</v>
      </c>
      <c r="F42" s="2">
        <f>(F41+F43)/2</f>
        <v>23079.5</v>
      </c>
      <c r="G42" s="2">
        <f t="shared" si="10"/>
        <v>1363206.78345326</v>
      </c>
      <c r="H42" s="9">
        <f t="shared" si="9"/>
        <v>4370882.78345326</v>
      </c>
      <c r="I42" s="2">
        <v>31410</v>
      </c>
      <c r="J42" s="2">
        <f t="shared" si="3"/>
        <v>1476759.996</v>
      </c>
      <c r="K42" s="2">
        <v>4201</v>
      </c>
      <c r="L42" s="2">
        <f t="shared" si="4"/>
        <v>197512.5356</v>
      </c>
      <c r="M42" s="12">
        <f t="shared" si="5"/>
        <v>0.13374721426297356</v>
      </c>
      <c r="N42" s="2">
        <v>15480</v>
      </c>
      <c r="O42" s="2">
        <f t="shared" si="6"/>
        <v>727801.488</v>
      </c>
      <c r="P42" s="12">
        <f t="shared" si="7"/>
        <v>0.49283667621776506</v>
      </c>
    </row>
    <row r="43" spans="1:16" ht="12.75">
      <c r="A43" s="11">
        <v>1508</v>
      </c>
      <c r="B43" s="2">
        <v>28171</v>
      </c>
      <c r="C43" s="2">
        <f t="shared" si="8"/>
        <v>1577576</v>
      </c>
      <c r="D43" s="2">
        <v>22500</v>
      </c>
      <c r="E43" s="2">
        <f t="shared" si="2"/>
        <v>1430100</v>
      </c>
      <c r="F43" s="2">
        <v>24210.5</v>
      </c>
      <c r="G43" s="2">
        <f t="shared" si="10"/>
        <v>1430010.0882079399</v>
      </c>
      <c r="H43" s="9">
        <f t="shared" si="9"/>
        <v>4437686.08820794</v>
      </c>
      <c r="I43" s="2">
        <v>31410</v>
      </c>
      <c r="J43" s="2">
        <f t="shared" si="3"/>
        <v>1476759.996</v>
      </c>
      <c r="K43" s="2">
        <v>4201</v>
      </c>
      <c r="L43" s="2">
        <f t="shared" si="4"/>
        <v>197512.5356</v>
      </c>
      <c r="M43" s="12">
        <f t="shared" si="5"/>
        <v>0.13374721426297356</v>
      </c>
      <c r="N43" s="2">
        <v>15480</v>
      </c>
      <c r="O43" s="2">
        <f t="shared" si="6"/>
        <v>727801.488</v>
      </c>
      <c r="P43" s="12">
        <f t="shared" si="7"/>
        <v>0.49283667621776506</v>
      </c>
    </row>
    <row r="44" spans="1:16" ht="12.75">
      <c r="A44" s="11">
        <v>1509</v>
      </c>
      <c r="B44" s="2">
        <v>28171</v>
      </c>
      <c r="C44" s="2">
        <f t="shared" si="8"/>
        <v>1577576</v>
      </c>
      <c r="D44" s="2">
        <v>22500</v>
      </c>
      <c r="E44" s="2">
        <f t="shared" si="2"/>
        <v>1430100</v>
      </c>
      <c r="F44" s="2">
        <v>21809.2</v>
      </c>
      <c r="G44" s="2">
        <f t="shared" si="10"/>
        <v>1288175.626928176</v>
      </c>
      <c r="H44" s="9">
        <f t="shared" si="9"/>
        <v>4295851.626928176</v>
      </c>
      <c r="I44" s="2">
        <v>31410</v>
      </c>
      <c r="J44" s="2">
        <f t="shared" si="3"/>
        <v>1476759.996</v>
      </c>
      <c r="K44" s="2">
        <v>4201</v>
      </c>
      <c r="L44" s="2">
        <f t="shared" si="4"/>
        <v>197512.5356</v>
      </c>
      <c r="M44" s="12">
        <f t="shared" si="5"/>
        <v>0.13374721426297356</v>
      </c>
      <c r="N44" s="2">
        <v>15480</v>
      </c>
      <c r="O44" s="2">
        <f t="shared" si="6"/>
        <v>727801.488</v>
      </c>
      <c r="P44" s="12">
        <f t="shared" si="7"/>
        <v>0.49283667621776506</v>
      </c>
    </row>
    <row r="45" spans="1:16" ht="12.75">
      <c r="A45" s="11">
        <v>1510</v>
      </c>
      <c r="B45" s="2">
        <v>28171</v>
      </c>
      <c r="C45" s="2">
        <f t="shared" si="8"/>
        <v>1577576</v>
      </c>
      <c r="D45" s="2">
        <v>46908</v>
      </c>
      <c r="E45" s="2">
        <f t="shared" si="2"/>
        <v>2981472.48</v>
      </c>
      <c r="F45" s="2">
        <f>(F44+F47)/2</f>
        <v>24787.85</v>
      </c>
      <c r="G45" s="2">
        <f t="shared" si="10"/>
        <v>1464111.669109898</v>
      </c>
      <c r="H45" s="9">
        <f t="shared" si="9"/>
        <v>6023160.149109898</v>
      </c>
      <c r="I45" s="2">
        <v>47937</v>
      </c>
      <c r="J45" s="2">
        <f t="shared" si="3"/>
        <v>2253786.8172</v>
      </c>
      <c r="K45" s="2">
        <v>1507</v>
      </c>
      <c r="L45" s="2">
        <f t="shared" si="4"/>
        <v>70852.5092</v>
      </c>
      <c r="M45" s="12">
        <f t="shared" si="5"/>
        <v>0.03143709451989069</v>
      </c>
      <c r="N45" s="2">
        <v>26300</v>
      </c>
      <c r="O45" s="2">
        <f t="shared" si="6"/>
        <v>1236510.28</v>
      </c>
      <c r="P45" s="12">
        <f t="shared" si="7"/>
        <v>0.5486367524041972</v>
      </c>
    </row>
    <row r="46" spans="1:16" ht="12.75">
      <c r="A46" s="11">
        <v>1511</v>
      </c>
      <c r="B46" s="2">
        <v>30470</v>
      </c>
      <c r="C46" s="2">
        <f t="shared" si="8"/>
        <v>1706320</v>
      </c>
      <c r="D46" s="2">
        <v>46908</v>
      </c>
      <c r="E46" s="2">
        <f t="shared" si="2"/>
        <v>2981472.48</v>
      </c>
      <c r="F46" s="2">
        <f>(F45+F47)/2</f>
        <v>26277.175</v>
      </c>
      <c r="G46" s="2">
        <f t="shared" si="10"/>
        <v>1552079.6902007589</v>
      </c>
      <c r="H46" s="9">
        <f t="shared" si="9"/>
        <v>6239872.17020076</v>
      </c>
      <c r="I46" s="2">
        <v>47937</v>
      </c>
      <c r="J46" s="2">
        <f t="shared" si="3"/>
        <v>2253786.8172</v>
      </c>
      <c r="K46" s="2">
        <v>1507</v>
      </c>
      <c r="L46" s="2">
        <f t="shared" si="4"/>
        <v>70852.5092</v>
      </c>
      <c r="M46" s="12">
        <f t="shared" si="5"/>
        <v>0.03143709451989069</v>
      </c>
      <c r="N46" s="2">
        <v>26300</v>
      </c>
      <c r="O46" s="2">
        <f t="shared" si="6"/>
        <v>1236510.28</v>
      </c>
      <c r="P46" s="12">
        <f t="shared" si="7"/>
        <v>0.5486367524041972</v>
      </c>
    </row>
    <row r="47" spans="1:16" ht="12.75">
      <c r="A47" s="11">
        <v>1512</v>
      </c>
      <c r="B47" s="2">
        <v>30470</v>
      </c>
      <c r="C47" s="2">
        <f t="shared" si="8"/>
        <v>1706320</v>
      </c>
      <c r="D47" s="2">
        <v>46908</v>
      </c>
      <c r="E47" s="2">
        <f t="shared" si="2"/>
        <v>2981472.48</v>
      </c>
      <c r="F47" s="2">
        <v>27766.5</v>
      </c>
      <c r="G47" s="2">
        <f t="shared" si="10"/>
        <v>1640047.71129162</v>
      </c>
      <c r="H47" s="9">
        <f t="shared" si="9"/>
        <v>6327840.191291621</v>
      </c>
      <c r="I47" s="2">
        <v>47937</v>
      </c>
      <c r="J47" s="2">
        <f t="shared" si="3"/>
        <v>2253786.8172</v>
      </c>
      <c r="K47" s="2">
        <v>1507</v>
      </c>
      <c r="L47" s="2">
        <f t="shared" si="4"/>
        <v>70852.5092</v>
      </c>
      <c r="M47" s="12">
        <f t="shared" si="5"/>
        <v>0.03143709451989069</v>
      </c>
      <c r="N47" s="2">
        <v>26300</v>
      </c>
      <c r="O47" s="2">
        <f t="shared" si="6"/>
        <v>1236510.28</v>
      </c>
      <c r="P47" s="12">
        <f t="shared" si="7"/>
        <v>0.5486367524041972</v>
      </c>
    </row>
    <row r="48" spans="1:16" ht="12.75">
      <c r="A48" s="11">
        <v>1513</v>
      </c>
      <c r="B48" s="2">
        <v>30470</v>
      </c>
      <c r="C48" s="2">
        <f t="shared" si="8"/>
        <v>1706320</v>
      </c>
      <c r="D48" s="2">
        <v>28522</v>
      </c>
      <c r="E48" s="2">
        <f t="shared" si="2"/>
        <v>1812858.32</v>
      </c>
      <c r="F48" s="2">
        <v>29098.2</v>
      </c>
      <c r="G48" s="2">
        <f t="shared" si="10"/>
        <v>1718705.501691096</v>
      </c>
      <c r="H48" s="9">
        <f t="shared" si="9"/>
        <v>5237883.821691096</v>
      </c>
      <c r="I48" s="2">
        <v>26873</v>
      </c>
      <c r="J48" s="2">
        <f t="shared" si="3"/>
        <v>1263450.2188</v>
      </c>
      <c r="K48" s="2">
        <v>1135</v>
      </c>
      <c r="L48" s="2">
        <f t="shared" si="4"/>
        <v>53362.706</v>
      </c>
      <c r="M48" s="12">
        <f t="shared" si="5"/>
        <v>0.04223570126148923</v>
      </c>
      <c r="N48" s="2">
        <v>16800</v>
      </c>
      <c r="O48" s="2">
        <f t="shared" si="6"/>
        <v>789862.08</v>
      </c>
      <c r="P48" s="12">
        <f t="shared" si="7"/>
        <v>0.6251628028132327</v>
      </c>
    </row>
    <row r="49" spans="1:16" ht="12.75">
      <c r="A49" s="11">
        <v>1514</v>
      </c>
      <c r="B49" s="2">
        <v>30470</v>
      </c>
      <c r="C49" s="2">
        <f t="shared" si="8"/>
        <v>1706320</v>
      </c>
      <c r="D49" s="2">
        <v>28522</v>
      </c>
      <c r="E49" s="2">
        <f t="shared" si="2"/>
        <v>1812858.32</v>
      </c>
      <c r="F49" s="2">
        <f>(F48+F50)/2</f>
        <v>29035.4</v>
      </c>
      <c r="G49" s="2">
        <f t="shared" si="10"/>
        <v>1714996.1758391121</v>
      </c>
      <c r="H49" s="9">
        <f t="shared" si="9"/>
        <v>5234174.495839112</v>
      </c>
      <c r="I49" s="2">
        <v>26873</v>
      </c>
      <c r="J49" s="2">
        <f t="shared" si="3"/>
        <v>1263450.2188</v>
      </c>
      <c r="K49" s="2">
        <v>1135</v>
      </c>
      <c r="L49" s="2">
        <f t="shared" si="4"/>
        <v>53362.706</v>
      </c>
      <c r="M49" s="12">
        <f t="shared" si="5"/>
        <v>0.04223570126148923</v>
      </c>
      <c r="N49" s="2">
        <v>16800</v>
      </c>
      <c r="O49" s="2">
        <f t="shared" si="6"/>
        <v>789862.08</v>
      </c>
      <c r="P49" s="12">
        <f t="shared" si="7"/>
        <v>0.6251628028132327</v>
      </c>
    </row>
    <row r="50" spans="1:16" ht="12.75">
      <c r="A50" s="11">
        <v>1515</v>
      </c>
      <c r="B50" s="2">
        <v>30470</v>
      </c>
      <c r="C50" s="2">
        <f t="shared" si="8"/>
        <v>1706320</v>
      </c>
      <c r="D50" s="2">
        <v>28522</v>
      </c>
      <c r="E50" s="2">
        <f t="shared" si="2"/>
        <v>1812858.32</v>
      </c>
      <c r="F50" s="2">
        <v>28972.6</v>
      </c>
      <c r="G50" s="2">
        <f t="shared" si="10"/>
        <v>1711286.8499871278</v>
      </c>
      <c r="H50" s="9">
        <f t="shared" si="9"/>
        <v>5230465.169987128</v>
      </c>
      <c r="I50" s="2">
        <v>26873</v>
      </c>
      <c r="J50" s="2">
        <f t="shared" si="3"/>
        <v>1263450.2188</v>
      </c>
      <c r="K50" s="2">
        <v>1135</v>
      </c>
      <c r="L50" s="2">
        <f t="shared" si="4"/>
        <v>53362.706</v>
      </c>
      <c r="M50" s="12">
        <f t="shared" si="5"/>
        <v>0.04223570126148923</v>
      </c>
      <c r="N50" s="2">
        <v>16800</v>
      </c>
      <c r="O50" s="2">
        <f t="shared" si="6"/>
        <v>789862.08</v>
      </c>
      <c r="P50" s="12">
        <f t="shared" si="7"/>
        <v>0.6251628028132327</v>
      </c>
    </row>
    <row r="51" spans="1:16" ht="12.75">
      <c r="A51" s="11">
        <v>1516</v>
      </c>
      <c r="B51" s="2">
        <v>30470</v>
      </c>
      <c r="C51" s="2">
        <f t="shared" si="8"/>
        <v>1706320</v>
      </c>
      <c r="D51" s="2">
        <v>26035</v>
      </c>
      <c r="E51" s="2">
        <f t="shared" si="2"/>
        <v>1654784.6</v>
      </c>
      <c r="F51" s="2">
        <f>(F50+F54)/2</f>
        <v>29870.8</v>
      </c>
      <c r="G51" s="2">
        <f t="shared" si="10"/>
        <v>1764339.660182224</v>
      </c>
      <c r="H51" s="9">
        <f t="shared" si="9"/>
        <v>5125444.260182224</v>
      </c>
      <c r="I51" s="2">
        <v>28890</v>
      </c>
      <c r="J51" s="2">
        <f t="shared" si="3"/>
        <v>1358280.684</v>
      </c>
      <c r="K51" s="2">
        <v>100</v>
      </c>
      <c r="L51" s="2">
        <f t="shared" si="4"/>
        <v>4701.5599999999995</v>
      </c>
      <c r="M51" s="12">
        <f t="shared" si="5"/>
        <v>0.003461405330564209</v>
      </c>
      <c r="N51" s="2">
        <v>14572</v>
      </c>
      <c r="O51" s="2">
        <f t="shared" si="6"/>
        <v>685111.3232</v>
      </c>
      <c r="P51" s="12">
        <f t="shared" si="7"/>
        <v>0.5043959847698166</v>
      </c>
    </row>
    <row r="52" spans="1:16" ht="12.75">
      <c r="A52" s="11">
        <v>1517</v>
      </c>
      <c r="B52" s="2">
        <v>30470</v>
      </c>
      <c r="C52" s="2">
        <f t="shared" si="8"/>
        <v>1706320</v>
      </c>
      <c r="D52" s="2">
        <v>26035</v>
      </c>
      <c r="E52" s="2">
        <f t="shared" si="2"/>
        <v>1654784.6</v>
      </c>
      <c r="F52" s="2">
        <f>(F51+F54)/2</f>
        <v>30319.9</v>
      </c>
      <c r="G52" s="2">
        <f t="shared" si="10"/>
        <v>1790866.065279772</v>
      </c>
      <c r="H52" s="9">
        <f t="shared" si="9"/>
        <v>5151970.665279772</v>
      </c>
      <c r="I52" s="2">
        <v>28890</v>
      </c>
      <c r="J52" s="2">
        <f t="shared" si="3"/>
        <v>1358280.684</v>
      </c>
      <c r="K52" s="2">
        <v>100</v>
      </c>
      <c r="L52" s="2">
        <f t="shared" si="4"/>
        <v>4701.5599999999995</v>
      </c>
      <c r="M52" s="12">
        <f t="shared" si="5"/>
        <v>0.003461405330564209</v>
      </c>
      <c r="N52" s="2">
        <v>14572</v>
      </c>
      <c r="O52" s="2">
        <f t="shared" si="6"/>
        <v>685111.3232</v>
      </c>
      <c r="P52" s="12">
        <f t="shared" si="7"/>
        <v>0.5043959847698166</v>
      </c>
    </row>
    <row r="53" spans="1:16" ht="12.75">
      <c r="A53" s="11">
        <v>1518</v>
      </c>
      <c r="B53" s="2">
        <v>30470</v>
      </c>
      <c r="C53" s="2">
        <f t="shared" si="8"/>
        <v>1706320</v>
      </c>
      <c r="D53" s="2">
        <v>26035</v>
      </c>
      <c r="E53" s="2">
        <f t="shared" si="2"/>
        <v>1654784.6</v>
      </c>
      <c r="F53" s="2">
        <f>(F52+F54)/2</f>
        <v>30544.45</v>
      </c>
      <c r="G53" s="2">
        <f t="shared" si="10"/>
        <v>1804129.267828546</v>
      </c>
      <c r="H53" s="9">
        <f t="shared" si="9"/>
        <v>5165233.867828546</v>
      </c>
      <c r="I53" s="2">
        <v>28890</v>
      </c>
      <c r="J53" s="2">
        <f t="shared" si="3"/>
        <v>1358280.684</v>
      </c>
      <c r="K53" s="2">
        <v>100</v>
      </c>
      <c r="L53" s="2">
        <f t="shared" si="4"/>
        <v>4701.5599999999995</v>
      </c>
      <c r="M53" s="12">
        <f t="shared" si="5"/>
        <v>0.003461405330564209</v>
      </c>
      <c r="N53" s="2">
        <v>14572</v>
      </c>
      <c r="O53" s="2">
        <f t="shared" si="6"/>
        <v>685111.3232</v>
      </c>
      <c r="P53" s="12">
        <f t="shared" si="7"/>
        <v>0.5043959847698166</v>
      </c>
    </row>
    <row r="54" spans="1:16" ht="12.75">
      <c r="A54" s="11">
        <v>1519</v>
      </c>
      <c r="B54" s="2">
        <v>30470</v>
      </c>
      <c r="C54" s="2">
        <f t="shared" si="8"/>
        <v>1706320</v>
      </c>
      <c r="D54" s="2">
        <v>28240</v>
      </c>
      <c r="E54" s="2">
        <f t="shared" si="2"/>
        <v>1794934.4000000001</v>
      </c>
      <c r="F54" s="2">
        <v>30769</v>
      </c>
      <c r="G54" s="2">
        <f t="shared" si="10"/>
        <v>1817392.47037732</v>
      </c>
      <c r="H54" s="9">
        <f t="shared" si="9"/>
        <v>5318646.870377321</v>
      </c>
      <c r="I54" s="2">
        <v>30521</v>
      </c>
      <c r="J54" s="2">
        <f t="shared" si="3"/>
        <v>1434963.1276</v>
      </c>
      <c r="K54" s="2">
        <v>1421</v>
      </c>
      <c r="L54" s="2">
        <f t="shared" si="4"/>
        <v>66809.1676</v>
      </c>
      <c r="M54" s="12">
        <f t="shared" si="5"/>
        <v>0.04655810753251859</v>
      </c>
      <c r="N54" s="2">
        <v>10393</v>
      </c>
      <c r="O54" s="2">
        <f t="shared" si="6"/>
        <v>488633.1308</v>
      </c>
      <c r="P54" s="12">
        <f t="shared" si="7"/>
        <v>0.34051964221355785</v>
      </c>
    </row>
    <row r="55" spans="1:16" ht="12.75">
      <c r="A55" s="11">
        <v>1520</v>
      </c>
      <c r="B55" s="2">
        <v>30470</v>
      </c>
      <c r="C55" s="2">
        <f t="shared" si="8"/>
        <v>1706320</v>
      </c>
      <c r="D55" s="2">
        <v>28240</v>
      </c>
      <c r="E55" s="2">
        <f t="shared" si="2"/>
        <v>1794934.4000000001</v>
      </c>
      <c r="F55" s="2">
        <f>(F54+F57)/2</f>
        <v>29677.75</v>
      </c>
      <c r="G55" s="2">
        <f t="shared" si="10"/>
        <v>1752937.02712927</v>
      </c>
      <c r="H55" s="9">
        <f t="shared" si="9"/>
        <v>5254191.4271292705</v>
      </c>
      <c r="I55" s="2">
        <v>30521</v>
      </c>
      <c r="J55" s="2">
        <f t="shared" si="3"/>
        <v>1434963.1276</v>
      </c>
      <c r="K55" s="2">
        <v>1421</v>
      </c>
      <c r="L55" s="2">
        <f t="shared" si="4"/>
        <v>66809.1676</v>
      </c>
      <c r="M55" s="12">
        <f t="shared" si="5"/>
        <v>0.04655810753251859</v>
      </c>
      <c r="N55" s="2">
        <v>10393</v>
      </c>
      <c r="O55" s="2">
        <f t="shared" si="6"/>
        <v>488633.1308</v>
      </c>
      <c r="P55" s="12">
        <f t="shared" si="7"/>
        <v>0.34051964221355785</v>
      </c>
    </row>
    <row r="56" spans="1:16" ht="12.75">
      <c r="A56" s="11">
        <v>1521</v>
      </c>
      <c r="B56" s="2">
        <v>30026</v>
      </c>
      <c r="C56" s="2">
        <f t="shared" si="8"/>
        <v>1681456</v>
      </c>
      <c r="D56" s="2">
        <v>28240</v>
      </c>
      <c r="E56" s="2">
        <f t="shared" si="2"/>
        <v>1794934.4000000001</v>
      </c>
      <c r="F56" s="2">
        <f>(F55+F57)/2</f>
        <v>29132.125</v>
      </c>
      <c r="G56" s="2">
        <f t="shared" si="10"/>
        <v>1720709.305505245</v>
      </c>
      <c r="H56" s="9">
        <f t="shared" si="9"/>
        <v>5197099.705505245</v>
      </c>
      <c r="I56" s="2">
        <v>30521</v>
      </c>
      <c r="J56" s="2">
        <f t="shared" si="3"/>
        <v>1434963.1276</v>
      </c>
      <c r="K56" s="2">
        <v>1421</v>
      </c>
      <c r="L56" s="2">
        <f t="shared" si="4"/>
        <v>66809.1676</v>
      </c>
      <c r="M56" s="12">
        <f t="shared" si="5"/>
        <v>0.04655810753251859</v>
      </c>
      <c r="N56" s="2">
        <v>10393</v>
      </c>
      <c r="O56" s="2">
        <f t="shared" si="6"/>
        <v>488633.1308</v>
      </c>
      <c r="P56" s="12">
        <f t="shared" si="7"/>
        <v>0.34051964221355785</v>
      </c>
    </row>
    <row r="57" spans="1:16" ht="12.75">
      <c r="A57" s="11">
        <v>1522</v>
      </c>
      <c r="B57" s="2">
        <v>30026</v>
      </c>
      <c r="C57" s="2">
        <f t="shared" si="8"/>
        <v>1681456</v>
      </c>
      <c r="D57" s="2">
        <v>28240</v>
      </c>
      <c r="E57" s="2">
        <f t="shared" si="2"/>
        <v>1794934.4000000001</v>
      </c>
      <c r="F57" s="2">
        <v>28586.5</v>
      </c>
      <c r="G57" s="2">
        <f t="shared" si="10"/>
        <v>1688481.58388122</v>
      </c>
      <c r="H57" s="9">
        <f t="shared" si="9"/>
        <v>5164871.98388122</v>
      </c>
      <c r="I57" s="2">
        <v>30521</v>
      </c>
      <c r="J57" s="2">
        <f t="shared" si="3"/>
        <v>1434963.1276</v>
      </c>
      <c r="K57" s="2">
        <v>1421</v>
      </c>
      <c r="L57" s="2">
        <f t="shared" si="4"/>
        <v>66809.1676</v>
      </c>
      <c r="M57" s="12">
        <f t="shared" si="5"/>
        <v>0.04655810753251859</v>
      </c>
      <c r="N57" s="2">
        <v>10393</v>
      </c>
      <c r="O57" s="2">
        <f t="shared" si="6"/>
        <v>488633.1308</v>
      </c>
      <c r="P57" s="12">
        <f t="shared" si="7"/>
        <v>0.34051964221355785</v>
      </c>
    </row>
    <row r="58" spans="1:16" ht="12.75">
      <c r="A58" s="11">
        <v>1523</v>
      </c>
      <c r="B58" s="2">
        <v>30026</v>
      </c>
      <c r="C58" s="2">
        <f t="shared" si="8"/>
        <v>1681456</v>
      </c>
      <c r="D58" s="2">
        <v>28240</v>
      </c>
      <c r="E58" s="2">
        <f t="shared" si="2"/>
        <v>1794934.4000000001</v>
      </c>
      <c r="F58" s="2">
        <v>28274</v>
      </c>
      <c r="G58" s="2">
        <f t="shared" si="10"/>
        <v>1670023.55316872</v>
      </c>
      <c r="H58" s="9">
        <f t="shared" si="9"/>
        <v>5146413.95316872</v>
      </c>
      <c r="I58" s="2">
        <v>30521</v>
      </c>
      <c r="J58" s="2">
        <f t="shared" si="3"/>
        <v>1434963.1276</v>
      </c>
      <c r="K58" s="2">
        <v>1421</v>
      </c>
      <c r="L58" s="2">
        <f t="shared" si="4"/>
        <v>66809.1676</v>
      </c>
      <c r="M58" s="12">
        <f t="shared" si="5"/>
        <v>0.04655810753251859</v>
      </c>
      <c r="N58" s="2">
        <v>10393</v>
      </c>
      <c r="O58" s="2">
        <f t="shared" si="6"/>
        <v>488633.1308</v>
      </c>
      <c r="P58" s="12">
        <f t="shared" si="7"/>
        <v>0.34051964221355785</v>
      </c>
    </row>
    <row r="59" spans="1:16" ht="12.75">
      <c r="A59" s="11">
        <v>1524</v>
      </c>
      <c r="B59" s="2">
        <v>30026</v>
      </c>
      <c r="C59" s="2">
        <f t="shared" si="8"/>
        <v>1681456</v>
      </c>
      <c r="D59" s="2">
        <v>28240</v>
      </c>
      <c r="E59" s="2">
        <f t="shared" si="2"/>
        <v>1794934.4000000001</v>
      </c>
      <c r="F59" s="2">
        <v>34117</v>
      </c>
      <c r="G59" s="2">
        <f t="shared" si="10"/>
        <v>2015144.42821876</v>
      </c>
      <c r="H59" s="9">
        <f t="shared" si="9"/>
        <v>5491534.82821876</v>
      </c>
      <c r="I59" s="2">
        <v>30521</v>
      </c>
      <c r="J59" s="2">
        <f t="shared" si="3"/>
        <v>1434963.1276</v>
      </c>
      <c r="K59" s="2">
        <v>1421</v>
      </c>
      <c r="L59" s="2">
        <f t="shared" si="4"/>
        <v>66809.1676</v>
      </c>
      <c r="M59" s="12">
        <f t="shared" si="5"/>
        <v>0.04655810753251859</v>
      </c>
      <c r="N59" s="2">
        <v>10393</v>
      </c>
      <c r="O59" s="2">
        <f t="shared" si="6"/>
        <v>488633.1308</v>
      </c>
      <c r="P59" s="12">
        <f t="shared" si="7"/>
        <v>0.34051964221355785</v>
      </c>
    </row>
    <row r="60" spans="1:16" ht="12.75">
      <c r="A60" s="11">
        <v>1525</v>
      </c>
      <c r="B60" s="2">
        <v>30026</v>
      </c>
      <c r="C60" s="2">
        <f t="shared" si="8"/>
        <v>1681456</v>
      </c>
      <c r="D60" s="2">
        <v>28240</v>
      </c>
      <c r="E60" s="2">
        <f t="shared" si="2"/>
        <v>1794934.4000000001</v>
      </c>
      <c r="F60" s="2">
        <f>(F59+F61)/2</f>
        <v>37791.8</v>
      </c>
      <c r="G60" s="2">
        <f t="shared" si="10"/>
        <v>2232199.0562581043</v>
      </c>
      <c r="H60" s="9">
        <f t="shared" si="9"/>
        <v>5708589.456258105</v>
      </c>
      <c r="I60" s="2">
        <v>30521</v>
      </c>
      <c r="J60" s="2">
        <f t="shared" si="3"/>
        <v>1434963.1276</v>
      </c>
      <c r="K60" s="2">
        <v>1421</v>
      </c>
      <c r="L60" s="2">
        <f t="shared" si="4"/>
        <v>66809.1676</v>
      </c>
      <c r="M60" s="12">
        <f t="shared" si="5"/>
        <v>0.04655810753251859</v>
      </c>
      <c r="N60" s="2">
        <v>10393</v>
      </c>
      <c r="O60" s="2">
        <f t="shared" si="6"/>
        <v>488633.1308</v>
      </c>
      <c r="P60" s="12">
        <f t="shared" si="7"/>
        <v>0.34051964221355785</v>
      </c>
    </row>
    <row r="61" spans="1:16" ht="12.75">
      <c r="A61" s="11">
        <v>1526</v>
      </c>
      <c r="B61" s="2">
        <v>30026</v>
      </c>
      <c r="C61" s="2">
        <f t="shared" si="8"/>
        <v>1681456</v>
      </c>
      <c r="D61" s="2">
        <v>20538</v>
      </c>
      <c r="E61" s="2">
        <f aca="true" t="shared" si="11" ref="E61:E92">D61*63.56</f>
        <v>1305395.28</v>
      </c>
      <c r="F61" s="2">
        <v>41466.6</v>
      </c>
      <c r="G61" s="2">
        <f t="shared" si="10"/>
        <v>2449253.684297448</v>
      </c>
      <c r="H61" s="9">
        <f t="shared" si="9"/>
        <v>5436104.964297448</v>
      </c>
      <c r="I61" s="2">
        <v>19008</v>
      </c>
      <c r="J61" s="2">
        <f t="shared" si="3"/>
        <v>893672.5248</v>
      </c>
      <c r="K61" s="2">
        <v>568</v>
      </c>
      <c r="L61" s="2">
        <f t="shared" si="4"/>
        <v>26704.8608</v>
      </c>
      <c r="M61" s="12">
        <f t="shared" si="5"/>
        <v>0.02988215488215488</v>
      </c>
      <c r="N61" s="2">
        <v>9200</v>
      </c>
      <c r="O61" s="2">
        <f t="shared" si="6"/>
        <v>432543.52</v>
      </c>
      <c r="P61" s="12">
        <f t="shared" si="7"/>
        <v>0.484006734006734</v>
      </c>
    </row>
    <row r="62" spans="1:16" ht="12.75">
      <c r="A62" s="11">
        <v>1527</v>
      </c>
      <c r="B62" s="2">
        <v>30026</v>
      </c>
      <c r="C62" s="2">
        <f t="shared" si="8"/>
        <v>1681456</v>
      </c>
      <c r="D62" s="2">
        <v>20538</v>
      </c>
      <c r="E62" s="2">
        <f t="shared" si="11"/>
        <v>1305395.28</v>
      </c>
      <c r="F62" s="2">
        <v>39683</v>
      </c>
      <c r="G62" s="2">
        <f t="shared" si="10"/>
        <v>2343904.10484524</v>
      </c>
      <c r="H62" s="9">
        <f t="shared" si="9"/>
        <v>5330755.38484524</v>
      </c>
      <c r="I62" s="2">
        <v>23503</v>
      </c>
      <c r="J62" s="2">
        <f t="shared" si="3"/>
        <v>1105007.6468</v>
      </c>
      <c r="K62" s="2">
        <v>1317</v>
      </c>
      <c r="L62" s="2">
        <f t="shared" si="4"/>
        <v>61919.5452</v>
      </c>
      <c r="M62" s="12">
        <f t="shared" si="5"/>
        <v>0.05603539973620389</v>
      </c>
      <c r="N62" s="2">
        <v>14329</v>
      </c>
      <c r="O62" s="2">
        <f t="shared" si="6"/>
        <v>673686.5324</v>
      </c>
      <c r="P62" s="12">
        <f t="shared" si="7"/>
        <v>0.6096668510402927</v>
      </c>
    </row>
    <row r="63" spans="1:16" ht="12.75">
      <c r="A63" s="11">
        <v>1528</v>
      </c>
      <c r="B63" s="2">
        <v>30026</v>
      </c>
      <c r="C63" s="2">
        <f t="shared" si="8"/>
        <v>1681456</v>
      </c>
      <c r="D63" s="2">
        <v>20538</v>
      </c>
      <c r="E63" s="2">
        <f t="shared" si="11"/>
        <v>1305395.28</v>
      </c>
      <c r="F63" s="2">
        <f>(F62+F64)/2</f>
        <v>38662</v>
      </c>
      <c r="G63" s="2">
        <f t="shared" si="10"/>
        <v>2283598.02690136</v>
      </c>
      <c r="H63" s="9">
        <f t="shared" si="9"/>
        <v>5270449.30690136</v>
      </c>
      <c r="I63" s="2">
        <v>23503</v>
      </c>
      <c r="J63" s="2">
        <f t="shared" si="3"/>
        <v>1105007.6468</v>
      </c>
      <c r="K63" s="2">
        <v>1317</v>
      </c>
      <c r="L63" s="2">
        <f t="shared" si="4"/>
        <v>61919.5452</v>
      </c>
      <c r="M63" s="12">
        <f t="shared" si="5"/>
        <v>0.05603539973620389</v>
      </c>
      <c r="N63" s="2">
        <v>14329</v>
      </c>
      <c r="O63" s="2">
        <f t="shared" si="6"/>
        <v>673686.5324</v>
      </c>
      <c r="P63" s="12">
        <f t="shared" si="7"/>
        <v>0.6096668510402927</v>
      </c>
    </row>
    <row r="64" spans="1:16" ht="12.75">
      <c r="A64" s="11">
        <v>1529</v>
      </c>
      <c r="B64" s="2">
        <v>30026</v>
      </c>
      <c r="C64" s="2">
        <f t="shared" si="8"/>
        <v>1681456</v>
      </c>
      <c r="D64" s="2">
        <v>20538</v>
      </c>
      <c r="E64" s="2">
        <f t="shared" si="11"/>
        <v>1305395.28</v>
      </c>
      <c r="F64" s="2">
        <v>37641</v>
      </c>
      <c r="G64" s="2">
        <f t="shared" si="10"/>
        <v>2223291.94895748</v>
      </c>
      <c r="H64" s="9">
        <f t="shared" si="9"/>
        <v>5210143.22895748</v>
      </c>
      <c r="I64" s="2">
        <v>23503</v>
      </c>
      <c r="J64" s="2">
        <f t="shared" si="3"/>
        <v>1105007.6468</v>
      </c>
      <c r="K64" s="2">
        <v>1317</v>
      </c>
      <c r="L64" s="2">
        <f t="shared" si="4"/>
        <v>61919.5452</v>
      </c>
      <c r="M64" s="12">
        <f t="shared" si="5"/>
        <v>0.05603539973620389</v>
      </c>
      <c r="N64" s="2">
        <v>14329</v>
      </c>
      <c r="O64" s="2">
        <f t="shared" si="6"/>
        <v>673686.5324</v>
      </c>
      <c r="P64" s="12">
        <f t="shared" si="7"/>
        <v>0.6096668510402927</v>
      </c>
    </row>
    <row r="65" spans="1:16" ht="12.75">
      <c r="A65" s="11">
        <v>1530</v>
      </c>
      <c r="B65" s="2">
        <v>30026</v>
      </c>
      <c r="C65" s="2">
        <f t="shared" si="8"/>
        <v>1681456</v>
      </c>
      <c r="D65" s="2">
        <v>20538</v>
      </c>
      <c r="E65" s="2">
        <f t="shared" si="11"/>
        <v>1305395.28</v>
      </c>
      <c r="F65" s="2">
        <f>(F64+F66)/2</f>
        <v>36263.625</v>
      </c>
      <c r="G65" s="2">
        <f t="shared" si="10"/>
        <v>2141936.332789065</v>
      </c>
      <c r="H65" s="9">
        <f t="shared" si="9"/>
        <v>5128787.612789065</v>
      </c>
      <c r="I65" s="2">
        <v>23503</v>
      </c>
      <c r="J65" s="2">
        <f t="shared" si="3"/>
        <v>1105007.6468</v>
      </c>
      <c r="K65" s="2">
        <v>1317</v>
      </c>
      <c r="L65" s="2">
        <f t="shared" si="4"/>
        <v>61919.5452</v>
      </c>
      <c r="M65" s="12">
        <f t="shared" si="5"/>
        <v>0.05603539973620389</v>
      </c>
      <c r="N65" s="2">
        <v>14329</v>
      </c>
      <c r="O65" s="2">
        <f t="shared" si="6"/>
        <v>673686.5324</v>
      </c>
      <c r="P65" s="12">
        <f t="shared" si="7"/>
        <v>0.6096668510402927</v>
      </c>
    </row>
    <row r="66" spans="1:16" ht="12.75">
      <c r="A66" s="11">
        <v>1531</v>
      </c>
      <c r="B66" s="2">
        <v>24414</v>
      </c>
      <c r="C66" s="2">
        <f t="shared" si="8"/>
        <v>1367184</v>
      </c>
      <c r="D66" s="2">
        <v>20538</v>
      </c>
      <c r="E66" s="2">
        <f t="shared" si="11"/>
        <v>1305395.28</v>
      </c>
      <c r="F66" s="2">
        <f>(F64+F69)/2</f>
        <v>34886.25</v>
      </c>
      <c r="G66" s="2">
        <f t="shared" si="10"/>
        <v>2060580.71662065</v>
      </c>
      <c r="H66" s="9">
        <f t="shared" si="9"/>
        <v>4733159.99662065</v>
      </c>
      <c r="I66" s="2">
        <v>23503</v>
      </c>
      <c r="J66" s="2">
        <f t="shared" si="3"/>
        <v>1105007.6468</v>
      </c>
      <c r="K66" s="2">
        <v>1317</v>
      </c>
      <c r="L66" s="2">
        <f t="shared" si="4"/>
        <v>61919.5452</v>
      </c>
      <c r="M66" s="12">
        <f t="shared" si="5"/>
        <v>0.05603539973620389</v>
      </c>
      <c r="N66" s="2">
        <v>14329</v>
      </c>
      <c r="O66" s="2">
        <f t="shared" si="6"/>
        <v>673686.5324</v>
      </c>
      <c r="P66" s="12">
        <f t="shared" si="7"/>
        <v>0.6096668510402927</v>
      </c>
    </row>
    <row r="67" spans="1:16" ht="12.75">
      <c r="A67" s="11">
        <v>1532</v>
      </c>
      <c r="B67" s="2">
        <v>24414</v>
      </c>
      <c r="C67" s="2">
        <f t="shared" si="8"/>
        <v>1367184</v>
      </c>
      <c r="D67" s="2">
        <v>20538</v>
      </c>
      <c r="E67" s="2">
        <f t="shared" si="11"/>
        <v>1305395.28</v>
      </c>
      <c r="F67" s="2">
        <f>(F64+F69)/2</f>
        <v>34886.25</v>
      </c>
      <c r="G67" s="2">
        <f t="shared" si="10"/>
        <v>2060580.71662065</v>
      </c>
      <c r="H67" s="9">
        <f t="shared" si="9"/>
        <v>4733159.99662065</v>
      </c>
      <c r="I67" s="2">
        <v>23503</v>
      </c>
      <c r="J67" s="2">
        <f t="shared" si="3"/>
        <v>1105007.6468</v>
      </c>
      <c r="K67" s="2">
        <v>1317</v>
      </c>
      <c r="L67" s="2">
        <f t="shared" si="4"/>
        <v>61919.5452</v>
      </c>
      <c r="M67" s="12">
        <f t="shared" si="5"/>
        <v>0.05603539973620389</v>
      </c>
      <c r="N67" s="2">
        <v>14329</v>
      </c>
      <c r="O67" s="2">
        <f t="shared" si="6"/>
        <v>673686.5324</v>
      </c>
      <c r="P67" s="12">
        <f t="shared" si="7"/>
        <v>0.6096668510402927</v>
      </c>
    </row>
    <row r="68" spans="1:16" ht="12.75">
      <c r="A68" s="11">
        <v>1533</v>
      </c>
      <c r="B68" s="2">
        <v>24414</v>
      </c>
      <c r="C68" s="2">
        <f t="shared" si="8"/>
        <v>1367184</v>
      </c>
      <c r="D68" s="2">
        <v>20538</v>
      </c>
      <c r="E68" s="2">
        <f t="shared" si="11"/>
        <v>1305395.28</v>
      </c>
      <c r="F68" s="2">
        <f>(F67+F69)/2</f>
        <v>33508.875</v>
      </c>
      <c r="G68" s="2">
        <f t="shared" si="10"/>
        <v>1979225.100452235</v>
      </c>
      <c r="H68" s="9">
        <f t="shared" si="9"/>
        <v>4651804.380452235</v>
      </c>
      <c r="I68" s="2">
        <v>20087</v>
      </c>
      <c r="J68" s="2">
        <f t="shared" si="3"/>
        <v>944402.3572</v>
      </c>
      <c r="K68" s="2">
        <v>3080</v>
      </c>
      <c r="L68" s="2">
        <f t="shared" si="4"/>
        <v>144808.048</v>
      </c>
      <c r="M68" s="12">
        <f t="shared" si="5"/>
        <v>0.15333300144371984</v>
      </c>
      <c r="N68" s="2">
        <v>9712</v>
      </c>
      <c r="O68" s="2">
        <f t="shared" si="6"/>
        <v>456615.5072</v>
      </c>
      <c r="P68" s="12">
        <f t="shared" si="7"/>
        <v>0.48349678896798925</v>
      </c>
    </row>
    <row r="69" spans="1:16" ht="12.75">
      <c r="A69" s="11">
        <v>1534</v>
      </c>
      <c r="B69" s="2">
        <v>24414</v>
      </c>
      <c r="C69" s="2">
        <f t="shared" si="8"/>
        <v>1367184</v>
      </c>
      <c r="D69" s="2">
        <v>20538</v>
      </c>
      <c r="E69" s="2">
        <f t="shared" si="11"/>
        <v>1305395.28</v>
      </c>
      <c r="F69" s="2">
        <v>32131.5</v>
      </c>
      <c r="G69" s="2">
        <f t="shared" si="10"/>
        <v>1897869.48428382</v>
      </c>
      <c r="H69" s="9">
        <f t="shared" si="9"/>
        <v>4570448.76428382</v>
      </c>
      <c r="I69" s="2">
        <v>20087</v>
      </c>
      <c r="J69" s="2">
        <f t="shared" si="3"/>
        <v>944402.3572</v>
      </c>
      <c r="K69" s="2">
        <v>3080</v>
      </c>
      <c r="L69" s="2">
        <f t="shared" si="4"/>
        <v>144808.048</v>
      </c>
      <c r="M69" s="12">
        <f t="shared" si="5"/>
        <v>0.15333300144371984</v>
      </c>
      <c r="N69" s="2">
        <v>9712</v>
      </c>
      <c r="O69" s="2">
        <f t="shared" si="6"/>
        <v>456615.5072</v>
      </c>
      <c r="P69" s="12">
        <f t="shared" si="7"/>
        <v>0.48349678896798925</v>
      </c>
    </row>
    <row r="70" spans="1:16" ht="12.75">
      <c r="A70" s="11">
        <v>1535</v>
      </c>
      <c r="B70" s="2">
        <v>24414</v>
      </c>
      <c r="C70" s="2">
        <f aca="true" t="shared" si="12" ref="C70:C95">B70*56</f>
        <v>1367184</v>
      </c>
      <c r="D70" s="2">
        <v>20538</v>
      </c>
      <c r="E70" s="2">
        <f t="shared" si="11"/>
        <v>1305395.28</v>
      </c>
      <c r="F70" s="2">
        <f>(F69+F72)/2</f>
        <v>30191.45</v>
      </c>
      <c r="G70" s="2">
        <f t="shared" si="10"/>
        <v>1783279.076335706</v>
      </c>
      <c r="H70" s="9">
        <f aca="true" t="shared" si="13" ref="H70:H95">C70+E70+G70</f>
        <v>4455858.356335706</v>
      </c>
      <c r="I70" s="2">
        <v>20087</v>
      </c>
      <c r="J70" s="2">
        <f t="shared" si="3"/>
        <v>944402.3572</v>
      </c>
      <c r="K70" s="2">
        <v>3080</v>
      </c>
      <c r="L70" s="2">
        <f t="shared" si="4"/>
        <v>144808.048</v>
      </c>
      <c r="M70" s="12">
        <f t="shared" si="5"/>
        <v>0.15333300144371984</v>
      </c>
      <c r="N70" s="2">
        <v>9712</v>
      </c>
      <c r="O70" s="2">
        <f t="shared" si="6"/>
        <v>456615.5072</v>
      </c>
      <c r="P70" s="12">
        <f t="shared" si="7"/>
        <v>0.48349678896798925</v>
      </c>
    </row>
    <row r="71" spans="1:16" ht="12.75">
      <c r="A71" s="11">
        <v>1536</v>
      </c>
      <c r="B71" s="2">
        <v>24414</v>
      </c>
      <c r="C71" s="2">
        <f t="shared" si="12"/>
        <v>1367184</v>
      </c>
      <c r="D71" s="2">
        <v>20538</v>
      </c>
      <c r="E71" s="2">
        <f t="shared" si="11"/>
        <v>1305395.28</v>
      </c>
      <c r="F71" s="2">
        <f>(F70+F72)/2</f>
        <v>29221.425000000003</v>
      </c>
      <c r="G71" s="2">
        <f t="shared" si="10"/>
        <v>1725983.872361649</v>
      </c>
      <c r="H71" s="9">
        <f t="shared" si="13"/>
        <v>4398563.152361649</v>
      </c>
      <c r="I71" s="2">
        <v>25689</v>
      </c>
      <c r="J71" s="2">
        <f t="shared" si="3"/>
        <v>1207783.7484</v>
      </c>
      <c r="K71" s="2">
        <v>3202</v>
      </c>
      <c r="L71" s="2">
        <f t="shared" si="4"/>
        <v>150543.9512</v>
      </c>
      <c r="M71" s="12">
        <f t="shared" si="5"/>
        <v>0.12464478959866092</v>
      </c>
      <c r="N71" s="2">
        <v>12618</v>
      </c>
      <c r="O71" s="2">
        <f t="shared" si="6"/>
        <v>593242.8408</v>
      </c>
      <c r="P71" s="12">
        <f t="shared" si="7"/>
        <v>0.4911829966133365</v>
      </c>
    </row>
    <row r="72" spans="1:16" ht="12.75">
      <c r="A72" s="11">
        <v>1537</v>
      </c>
      <c r="B72" s="2">
        <v>24414</v>
      </c>
      <c r="C72" s="2">
        <f t="shared" si="12"/>
        <v>1367184</v>
      </c>
      <c r="D72" s="2">
        <v>20538</v>
      </c>
      <c r="E72" s="2">
        <f t="shared" si="11"/>
        <v>1305395.28</v>
      </c>
      <c r="F72" s="2">
        <v>28251.4</v>
      </c>
      <c r="G72" s="2">
        <f t="shared" si="10"/>
        <v>1668688.668387592</v>
      </c>
      <c r="H72" s="9">
        <f t="shared" si="13"/>
        <v>4341267.948387592</v>
      </c>
      <c r="I72" s="2">
        <v>25689</v>
      </c>
      <c r="J72" s="2">
        <f t="shared" si="3"/>
        <v>1207783.7484</v>
      </c>
      <c r="K72" s="2">
        <v>3202</v>
      </c>
      <c r="L72" s="2">
        <f t="shared" si="4"/>
        <v>150543.9512</v>
      </c>
      <c r="M72" s="12">
        <f t="shared" si="5"/>
        <v>0.12464478959866092</v>
      </c>
      <c r="N72" s="2">
        <v>12618</v>
      </c>
      <c r="O72" s="2">
        <f t="shared" si="6"/>
        <v>593242.8408</v>
      </c>
      <c r="P72" s="12">
        <f t="shared" si="7"/>
        <v>0.4911829966133365</v>
      </c>
    </row>
    <row r="73" spans="1:16" ht="12.75">
      <c r="A73" s="11">
        <v>1538</v>
      </c>
      <c r="B73" s="2">
        <v>24414</v>
      </c>
      <c r="C73" s="2">
        <f t="shared" si="12"/>
        <v>1367184</v>
      </c>
      <c r="D73" s="2">
        <v>20538</v>
      </c>
      <c r="E73" s="2">
        <f t="shared" si="11"/>
        <v>1305395.28</v>
      </c>
      <c r="F73" s="2">
        <v>29281</v>
      </c>
      <c r="G73" s="2">
        <f aca="true" t="shared" si="14" ref="G73:G95">(125.63*0.470156)*F73</f>
        <v>1729502.71133668</v>
      </c>
      <c r="H73" s="9">
        <f t="shared" si="13"/>
        <v>4402081.99133668</v>
      </c>
      <c r="I73" s="2">
        <v>25689</v>
      </c>
      <c r="J73" s="2">
        <f t="shared" si="3"/>
        <v>1207783.7484</v>
      </c>
      <c r="K73" s="2">
        <v>3202</v>
      </c>
      <c r="L73" s="2">
        <f t="shared" si="4"/>
        <v>150543.9512</v>
      </c>
      <c r="M73" s="12">
        <f t="shared" si="5"/>
        <v>0.12464478959866092</v>
      </c>
      <c r="N73" s="2">
        <v>12618</v>
      </c>
      <c r="O73" s="2">
        <f t="shared" si="6"/>
        <v>593242.8408</v>
      </c>
      <c r="P73" s="12">
        <f t="shared" si="7"/>
        <v>0.4911829966133365</v>
      </c>
    </row>
    <row r="74" spans="1:16" ht="12.75">
      <c r="A74" s="11">
        <v>1539</v>
      </c>
      <c r="B74" s="2">
        <v>24414</v>
      </c>
      <c r="C74" s="2">
        <f t="shared" si="12"/>
        <v>1367184</v>
      </c>
      <c r="D74" s="2">
        <v>20538</v>
      </c>
      <c r="E74" s="2">
        <f t="shared" si="11"/>
        <v>1305395.28</v>
      </c>
      <c r="F74" s="2">
        <f>(F73+F76)/2</f>
        <v>27236.4</v>
      </c>
      <c r="G74" s="2">
        <f t="shared" si="14"/>
        <v>1608736.984633392</v>
      </c>
      <c r="H74" s="9">
        <f t="shared" si="13"/>
        <v>4281316.264633392</v>
      </c>
      <c r="I74" s="2">
        <v>25689</v>
      </c>
      <c r="J74" s="2">
        <f t="shared" si="3"/>
        <v>1207783.7484</v>
      </c>
      <c r="K74" s="2">
        <v>3202</v>
      </c>
      <c r="L74" s="2">
        <f t="shared" si="4"/>
        <v>150543.9512</v>
      </c>
      <c r="M74" s="12">
        <f t="shared" si="5"/>
        <v>0.12464478959866092</v>
      </c>
      <c r="N74" s="2">
        <v>12618</v>
      </c>
      <c r="O74" s="2">
        <f t="shared" si="6"/>
        <v>593242.8408</v>
      </c>
      <c r="P74" s="12">
        <f t="shared" si="7"/>
        <v>0.4911829966133365</v>
      </c>
    </row>
    <row r="75" spans="1:16" ht="12.75">
      <c r="A75" s="11">
        <v>1540</v>
      </c>
      <c r="B75" s="2">
        <v>24414</v>
      </c>
      <c r="C75" s="2">
        <f t="shared" si="12"/>
        <v>1367184</v>
      </c>
      <c r="D75" s="2">
        <f>(D74+D76)/2</f>
        <v>21157.5</v>
      </c>
      <c r="E75" s="2">
        <f t="shared" si="11"/>
        <v>1344770.7</v>
      </c>
      <c r="F75" s="2">
        <f>(F74+F76)/2</f>
        <v>26214.1</v>
      </c>
      <c r="G75" s="2">
        <f t="shared" si="14"/>
        <v>1548354.121281748</v>
      </c>
      <c r="H75" s="9">
        <f t="shared" si="13"/>
        <v>4260308.821281748</v>
      </c>
      <c r="I75" s="2">
        <v>25689</v>
      </c>
      <c r="J75" s="2">
        <f t="shared" si="3"/>
        <v>1207783.7484</v>
      </c>
      <c r="K75" s="2">
        <v>3202</v>
      </c>
      <c r="L75" s="2">
        <f t="shared" si="4"/>
        <v>150543.9512</v>
      </c>
      <c r="M75" s="12">
        <f t="shared" si="5"/>
        <v>0.12464478959866092</v>
      </c>
      <c r="N75" s="2">
        <v>12618</v>
      </c>
      <c r="O75" s="2">
        <f t="shared" si="6"/>
        <v>593242.8408</v>
      </c>
      <c r="P75" s="12">
        <f t="shared" si="7"/>
        <v>0.4911829966133365</v>
      </c>
    </row>
    <row r="76" spans="1:8" ht="12.75">
      <c r="A76" s="11">
        <v>1541</v>
      </c>
      <c r="B76" s="2">
        <v>20629</v>
      </c>
      <c r="C76" s="2">
        <f t="shared" si="12"/>
        <v>1155224</v>
      </c>
      <c r="D76" s="2">
        <v>21777</v>
      </c>
      <c r="E76" s="2">
        <f t="shared" si="11"/>
        <v>1384146.12</v>
      </c>
      <c r="F76" s="2">
        <v>25191.8</v>
      </c>
      <c r="G76" s="2">
        <f t="shared" si="14"/>
        <v>1487971.257930104</v>
      </c>
      <c r="H76" s="9">
        <f t="shared" si="13"/>
        <v>4027341.377930104</v>
      </c>
    </row>
    <row r="77" spans="1:8" ht="12.75">
      <c r="A77" s="11">
        <v>1542</v>
      </c>
      <c r="B77" s="2">
        <v>20629</v>
      </c>
      <c r="C77" s="2">
        <f t="shared" si="12"/>
        <v>1155224</v>
      </c>
      <c r="D77" s="2">
        <v>21777</v>
      </c>
      <c r="E77" s="2">
        <f t="shared" si="11"/>
        <v>1384146.12</v>
      </c>
      <c r="F77" s="2">
        <v>28357.9</v>
      </c>
      <c r="G77" s="2">
        <f t="shared" si="14"/>
        <v>1674979.165254412</v>
      </c>
      <c r="H77" s="9">
        <f t="shared" si="13"/>
        <v>4214349.285254412</v>
      </c>
    </row>
    <row r="78" spans="1:8" ht="12.75">
      <c r="A78" s="11">
        <v>1543</v>
      </c>
      <c r="B78" s="2">
        <v>20629</v>
      </c>
      <c r="C78" s="2">
        <f t="shared" si="12"/>
        <v>1155224</v>
      </c>
      <c r="D78" s="2">
        <v>21777</v>
      </c>
      <c r="E78" s="2">
        <f t="shared" si="11"/>
        <v>1384146.12</v>
      </c>
      <c r="F78" s="2">
        <v>31929.9</v>
      </c>
      <c r="G78" s="2">
        <f t="shared" si="14"/>
        <v>1885961.8395105721</v>
      </c>
      <c r="H78" s="9">
        <f t="shared" si="13"/>
        <v>4425331.959510572</v>
      </c>
    </row>
    <row r="79" spans="1:8" ht="12.75">
      <c r="A79" s="11">
        <v>1544</v>
      </c>
      <c r="B79" s="2">
        <v>20629</v>
      </c>
      <c r="C79" s="2">
        <f t="shared" si="12"/>
        <v>1155224</v>
      </c>
      <c r="D79" s="2">
        <v>21777</v>
      </c>
      <c r="E79" s="2">
        <f t="shared" si="11"/>
        <v>1384146.12</v>
      </c>
      <c r="F79" s="2">
        <v>33740.4</v>
      </c>
      <c r="G79" s="2">
        <f t="shared" si="14"/>
        <v>1992900.286246512</v>
      </c>
      <c r="H79" s="9">
        <f t="shared" si="13"/>
        <v>4532270.406246512</v>
      </c>
    </row>
    <row r="80" spans="1:8" ht="12.75">
      <c r="A80" s="11">
        <v>1545</v>
      </c>
      <c r="B80" s="2">
        <v>20629</v>
      </c>
      <c r="C80" s="2">
        <f t="shared" si="12"/>
        <v>1155224</v>
      </c>
      <c r="D80" s="2">
        <v>21777</v>
      </c>
      <c r="E80" s="2">
        <f t="shared" si="11"/>
        <v>1384146.12</v>
      </c>
      <c r="F80" s="2">
        <v>37436.8</v>
      </c>
      <c r="G80" s="2">
        <f t="shared" si="14"/>
        <v>2211230.733368704</v>
      </c>
      <c r="H80" s="9">
        <f t="shared" si="13"/>
        <v>4750600.853368704</v>
      </c>
    </row>
    <row r="81" spans="1:8" ht="12.75">
      <c r="A81" s="11">
        <v>1546</v>
      </c>
      <c r="B81" s="2">
        <v>20629</v>
      </c>
      <c r="C81" s="2">
        <f t="shared" si="12"/>
        <v>1155224</v>
      </c>
      <c r="D81" s="2">
        <v>21777</v>
      </c>
      <c r="E81" s="2">
        <f t="shared" si="11"/>
        <v>1384146.12</v>
      </c>
      <c r="F81" s="2">
        <f>(F80+F82)/2</f>
        <v>36461.425</v>
      </c>
      <c r="G81" s="2">
        <f t="shared" si="14"/>
        <v>2153619.527908849</v>
      </c>
      <c r="H81" s="9">
        <f t="shared" si="13"/>
        <v>4692989.64790885</v>
      </c>
    </row>
    <row r="82" spans="1:8" ht="12.75">
      <c r="A82" s="11">
        <v>1547</v>
      </c>
      <c r="B82" s="2">
        <v>20629</v>
      </c>
      <c r="C82" s="2">
        <f t="shared" si="12"/>
        <v>1155224</v>
      </c>
      <c r="E82" s="2">
        <f t="shared" si="11"/>
        <v>0</v>
      </c>
      <c r="F82" s="2">
        <f>(F80+F84)/2</f>
        <v>35486.05</v>
      </c>
      <c r="G82" s="2">
        <f t="shared" si="14"/>
        <v>2096008.3224489943</v>
      </c>
      <c r="H82" s="9">
        <f t="shared" si="13"/>
        <v>3251232.322448994</v>
      </c>
    </row>
    <row r="83" spans="1:8" ht="12.75">
      <c r="A83" s="11">
        <v>1548</v>
      </c>
      <c r="B83" s="2">
        <v>20629</v>
      </c>
      <c r="C83" s="2">
        <f t="shared" si="12"/>
        <v>1155224</v>
      </c>
      <c r="E83" s="2">
        <f t="shared" si="11"/>
        <v>0</v>
      </c>
      <c r="F83" s="2">
        <f>(F82+F84)/2</f>
        <v>34510.675</v>
      </c>
      <c r="G83" s="2">
        <f t="shared" si="14"/>
        <v>2038397.1169891392</v>
      </c>
      <c r="H83" s="9">
        <f t="shared" si="13"/>
        <v>3193621.1169891395</v>
      </c>
    </row>
    <row r="84" spans="1:8" ht="12.75">
      <c r="A84" s="11">
        <v>1549</v>
      </c>
      <c r="B84" s="2">
        <v>20629</v>
      </c>
      <c r="C84" s="2">
        <f t="shared" si="12"/>
        <v>1155224</v>
      </c>
      <c r="E84" s="2">
        <f t="shared" si="11"/>
        <v>0</v>
      </c>
      <c r="F84" s="2">
        <v>33535.3</v>
      </c>
      <c r="G84" s="2">
        <f t="shared" si="14"/>
        <v>1980785.9115292842</v>
      </c>
      <c r="H84" s="9">
        <f t="shared" si="13"/>
        <v>3136009.911529284</v>
      </c>
    </row>
    <row r="85" spans="1:8" ht="12.75">
      <c r="A85" s="11">
        <v>1550</v>
      </c>
      <c r="B85" s="2">
        <v>20629</v>
      </c>
      <c r="C85" s="2">
        <f t="shared" si="12"/>
        <v>1155224</v>
      </c>
      <c r="E85" s="2">
        <f t="shared" si="11"/>
        <v>0</v>
      </c>
      <c r="F85" s="2">
        <v>29431.4</v>
      </c>
      <c r="G85" s="2">
        <f t="shared" si="14"/>
        <v>1738386.192357992</v>
      </c>
      <c r="H85" s="9">
        <f t="shared" si="13"/>
        <v>2893610.192357992</v>
      </c>
    </row>
    <row r="86" spans="1:8" ht="12.75">
      <c r="A86" s="11">
        <v>1551</v>
      </c>
      <c r="B86" s="2">
        <v>17581</v>
      </c>
      <c r="C86" s="2">
        <f t="shared" si="12"/>
        <v>984536</v>
      </c>
      <c r="E86" s="2">
        <f t="shared" si="11"/>
        <v>0</v>
      </c>
      <c r="F86" s="2">
        <f>(F85+F88)/2</f>
        <v>25555.65</v>
      </c>
      <c r="G86" s="2">
        <f t="shared" si="14"/>
        <v>1509462.3122492821</v>
      </c>
      <c r="H86" s="9">
        <f t="shared" si="13"/>
        <v>2493998.3122492824</v>
      </c>
    </row>
    <row r="87" spans="1:8" ht="12.75">
      <c r="A87" s="11">
        <v>1552</v>
      </c>
      <c r="B87" s="2">
        <v>17581</v>
      </c>
      <c r="C87" s="2">
        <f t="shared" si="12"/>
        <v>984536</v>
      </c>
      <c r="E87" s="2">
        <f t="shared" si="11"/>
        <v>0</v>
      </c>
      <c r="F87" s="2">
        <f>(F86+F88)/2</f>
        <v>23617.775</v>
      </c>
      <c r="G87" s="2">
        <f t="shared" si="14"/>
        <v>1395000.3721949272</v>
      </c>
      <c r="H87" s="9">
        <f t="shared" si="13"/>
        <v>2379536.372194927</v>
      </c>
    </row>
    <row r="88" spans="1:8" ht="12.75">
      <c r="A88" s="11">
        <v>1553</v>
      </c>
      <c r="B88" s="2">
        <v>17581</v>
      </c>
      <c r="C88" s="2">
        <f t="shared" si="12"/>
        <v>984536</v>
      </c>
      <c r="E88" s="2">
        <f t="shared" si="11"/>
        <v>0</v>
      </c>
      <c r="F88" s="2">
        <v>21679.9</v>
      </c>
      <c r="G88" s="2">
        <f t="shared" si="14"/>
        <v>1280538.432140572</v>
      </c>
      <c r="H88" s="9">
        <f t="shared" si="13"/>
        <v>2265074.432140572</v>
      </c>
    </row>
    <row r="89" spans="1:8" ht="12.75">
      <c r="A89" s="11">
        <v>1554</v>
      </c>
      <c r="B89" s="2">
        <v>17581</v>
      </c>
      <c r="C89" s="2">
        <f t="shared" si="12"/>
        <v>984536</v>
      </c>
      <c r="E89" s="2">
        <f t="shared" si="11"/>
        <v>0</v>
      </c>
      <c r="F89" s="2">
        <v>14970.1</v>
      </c>
      <c r="G89" s="2">
        <f t="shared" si="14"/>
        <v>884219.409821428</v>
      </c>
      <c r="H89" s="9">
        <f t="shared" si="13"/>
        <v>1868755.409821428</v>
      </c>
    </row>
    <row r="90" spans="1:8" ht="12.75">
      <c r="A90" s="11">
        <v>1555</v>
      </c>
      <c r="B90" s="2">
        <v>17581</v>
      </c>
      <c r="C90" s="2">
        <f t="shared" si="12"/>
        <v>984536</v>
      </c>
      <c r="E90" s="2">
        <f t="shared" si="11"/>
        <v>0</v>
      </c>
      <c r="F90" s="2">
        <v>22331.9</v>
      </c>
      <c r="G90" s="2">
        <f t="shared" si="14"/>
        <v>1319049.2674191322</v>
      </c>
      <c r="H90" s="9">
        <f t="shared" si="13"/>
        <v>2303585.2674191324</v>
      </c>
    </row>
    <row r="91" spans="1:8" ht="12.75">
      <c r="A91" s="11">
        <v>1556</v>
      </c>
      <c r="B91" s="2">
        <v>17581</v>
      </c>
      <c r="C91" s="2">
        <f t="shared" si="12"/>
        <v>984536</v>
      </c>
      <c r="E91" s="2">
        <f t="shared" si="11"/>
        <v>0</v>
      </c>
      <c r="F91" s="2">
        <v>22927.3</v>
      </c>
      <c r="G91" s="2">
        <f t="shared" si="14"/>
        <v>1354216.9841750439</v>
      </c>
      <c r="H91" s="9">
        <f t="shared" si="13"/>
        <v>2338752.984175044</v>
      </c>
    </row>
    <row r="92" spans="1:8" ht="12.75">
      <c r="A92" s="11">
        <v>1557</v>
      </c>
      <c r="B92" s="2">
        <v>17581</v>
      </c>
      <c r="C92" s="2">
        <f t="shared" si="12"/>
        <v>984536</v>
      </c>
      <c r="E92" s="2">
        <f t="shared" si="11"/>
        <v>0</v>
      </c>
      <c r="F92" s="2">
        <v>20243.7</v>
      </c>
      <c r="G92" s="2">
        <f t="shared" si="14"/>
        <v>1195708.2762708361</v>
      </c>
      <c r="H92" s="9">
        <f t="shared" si="13"/>
        <v>2180244.276270836</v>
      </c>
    </row>
    <row r="93" spans="1:8" ht="12.75">
      <c r="A93" s="11">
        <v>1558</v>
      </c>
      <c r="B93" s="2">
        <v>17581</v>
      </c>
      <c r="C93" s="2">
        <f t="shared" si="12"/>
        <v>984536</v>
      </c>
      <c r="E93" s="2">
        <f>D93*63.56</f>
        <v>0</v>
      </c>
      <c r="F93" s="2">
        <v>24495.8</v>
      </c>
      <c r="G93" s="2">
        <f t="shared" si="14"/>
        <v>1446861.531927224</v>
      </c>
      <c r="H93" s="9">
        <f t="shared" si="13"/>
        <v>2431397.5319272242</v>
      </c>
    </row>
    <row r="94" spans="1:8" ht="12.75">
      <c r="A94" s="11">
        <v>1559</v>
      </c>
      <c r="B94" s="2">
        <v>17581</v>
      </c>
      <c r="C94" s="2">
        <f t="shared" si="12"/>
        <v>984536</v>
      </c>
      <c r="E94" s="2">
        <f>D94*63.56</f>
        <v>0</v>
      </c>
      <c r="F94" s="2">
        <v>26496.3</v>
      </c>
      <c r="G94" s="2">
        <f t="shared" si="14"/>
        <v>1565022.461336364</v>
      </c>
      <c r="H94" s="9">
        <f t="shared" si="13"/>
        <v>2549558.461336364</v>
      </c>
    </row>
    <row r="95" spans="1:8" ht="12.75">
      <c r="A95" s="11">
        <v>1560</v>
      </c>
      <c r="B95" s="2">
        <v>17581</v>
      </c>
      <c r="C95" s="2">
        <f t="shared" si="12"/>
        <v>984536</v>
      </c>
      <c r="E95" s="2">
        <f>D95*63.56</f>
        <v>0</v>
      </c>
      <c r="F95" s="2">
        <f>F94+(F94-F93)</f>
        <v>28496.8</v>
      </c>
      <c r="G95" s="2">
        <f t="shared" si="14"/>
        <v>1683183.3907455038</v>
      </c>
      <c r="H95" s="9">
        <f t="shared" si="13"/>
        <v>2667719.390745504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G116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15.57421875" style="0" customWidth="1"/>
    <col min="3" max="3" width="14.28125" style="0" customWidth="1"/>
    <col min="4" max="5" width="10.57421875" style="0" customWidth="1"/>
    <col min="6" max="7" width="12.00390625" style="0" customWidth="1"/>
  </cols>
  <sheetData>
    <row r="1" spans="2:4" ht="12.75">
      <c r="B1" s="3" t="s">
        <v>249</v>
      </c>
      <c r="C1" s="2"/>
      <c r="D1" s="2"/>
    </row>
    <row r="3" spans="2:7" ht="12.75">
      <c r="B3" s="10" t="s">
        <v>559</v>
      </c>
      <c r="C3" s="3" t="s">
        <v>289</v>
      </c>
      <c r="D3" s="3" t="s">
        <v>550</v>
      </c>
      <c r="E3" s="14" t="s">
        <v>550</v>
      </c>
      <c r="F3" s="3" t="s">
        <v>545</v>
      </c>
      <c r="G3" s="14" t="s">
        <v>545</v>
      </c>
    </row>
    <row r="4" spans="2:7" ht="12.75">
      <c r="B4" s="10" t="s">
        <v>285</v>
      </c>
      <c r="C4" s="3" t="s">
        <v>384</v>
      </c>
      <c r="D4" s="3" t="s">
        <v>384</v>
      </c>
      <c r="E4" s="14" t="s">
        <v>471</v>
      </c>
      <c r="F4" s="3" t="s">
        <v>384</v>
      </c>
      <c r="G4" s="14" t="s">
        <v>471</v>
      </c>
    </row>
    <row r="5" spans="2:7" ht="12.75">
      <c r="B5" s="9"/>
      <c r="C5" s="2"/>
      <c r="D5" s="2"/>
      <c r="E5" s="12"/>
      <c r="F5" s="2"/>
      <c r="G5" s="12"/>
    </row>
    <row r="6" spans="1:7" ht="12.75">
      <c r="A6" s="11">
        <v>1471</v>
      </c>
      <c r="B6" s="9">
        <v>1286656</v>
      </c>
      <c r="C6" s="2"/>
      <c r="D6" s="2"/>
      <c r="E6" s="12"/>
      <c r="F6" s="2"/>
      <c r="G6" s="12"/>
    </row>
    <row r="7" spans="1:7" ht="12.75">
      <c r="A7" s="11">
        <v>1472</v>
      </c>
      <c r="B7" s="9">
        <v>1286656</v>
      </c>
      <c r="C7" s="2"/>
      <c r="D7" s="2"/>
      <c r="E7" s="12"/>
      <c r="F7" s="2"/>
      <c r="G7" s="12"/>
    </row>
    <row r="8" spans="1:7" ht="12.75">
      <c r="A8" s="11">
        <v>1473</v>
      </c>
      <c r="B8" s="9">
        <v>1286656</v>
      </c>
      <c r="C8" s="2"/>
      <c r="D8" s="2"/>
      <c r="E8" s="12"/>
      <c r="F8" s="2"/>
      <c r="G8" s="12"/>
    </row>
    <row r="9" spans="1:7" ht="12.75">
      <c r="A9" s="11">
        <v>1474</v>
      </c>
      <c r="B9" s="9">
        <v>1286656</v>
      </c>
      <c r="C9" s="2"/>
      <c r="D9" s="2"/>
      <c r="E9" s="12"/>
      <c r="F9" s="2"/>
      <c r="G9" s="12"/>
    </row>
    <row r="10" spans="1:7" ht="12.75">
      <c r="A10" s="11">
        <v>1475</v>
      </c>
      <c r="B10" s="9">
        <v>1286656</v>
      </c>
      <c r="C10" s="2"/>
      <c r="D10" s="2"/>
      <c r="E10" s="12"/>
      <c r="F10" s="2"/>
      <c r="G10" s="12"/>
    </row>
    <row r="11" spans="1:7" ht="12.75">
      <c r="A11" s="11"/>
      <c r="B11" s="9"/>
      <c r="C11" s="2"/>
      <c r="D11" s="2"/>
      <c r="E11" s="12"/>
      <c r="F11" s="2"/>
      <c r="G11" s="12"/>
    </row>
    <row r="12" spans="1:7" ht="12.75">
      <c r="A12" s="11" t="s">
        <v>11</v>
      </c>
      <c r="B12" s="9">
        <f>SUM(B6:B11)/5</f>
        <v>1286656</v>
      </c>
      <c r="C12" s="2"/>
      <c r="D12" s="2"/>
      <c r="E12" s="12"/>
      <c r="F12" s="2"/>
      <c r="G12" s="12"/>
    </row>
    <row r="13" spans="1:7" ht="12.75">
      <c r="A13" s="11"/>
      <c r="B13" s="9"/>
      <c r="C13" s="2"/>
      <c r="D13" s="2"/>
      <c r="E13" s="12"/>
      <c r="F13" s="2"/>
      <c r="G13" s="12"/>
    </row>
    <row r="14" spans="1:7" ht="12.75">
      <c r="A14" s="11">
        <v>1476</v>
      </c>
      <c r="B14" s="9">
        <v>1286656</v>
      </c>
      <c r="C14" s="2"/>
      <c r="D14" s="2"/>
      <c r="E14" s="12"/>
      <c r="F14" s="2"/>
      <c r="G14" s="12"/>
    </row>
    <row r="15" spans="1:7" ht="12.75">
      <c r="A15" s="11">
        <v>1477</v>
      </c>
      <c r="B15" s="9">
        <v>1286656</v>
      </c>
      <c r="C15" s="2"/>
      <c r="D15" s="2"/>
      <c r="E15" s="12"/>
      <c r="F15" s="2"/>
      <c r="G15" s="12"/>
    </row>
    <row r="16" spans="1:7" ht="12.75">
      <c r="A16" s="11">
        <v>1478</v>
      </c>
      <c r="B16" s="9">
        <v>1286656</v>
      </c>
      <c r="C16" s="2"/>
      <c r="D16" s="2"/>
      <c r="E16" s="12"/>
      <c r="F16" s="2"/>
      <c r="G16" s="12"/>
    </row>
    <row r="17" spans="1:7" ht="12.75">
      <c r="A17" s="11">
        <v>1479</v>
      </c>
      <c r="B17" s="9">
        <v>1286656</v>
      </c>
      <c r="C17" s="2"/>
      <c r="D17" s="2"/>
      <c r="E17" s="12"/>
      <c r="F17" s="2"/>
      <c r="G17" s="12"/>
    </row>
    <row r="18" spans="1:7" ht="12.75">
      <c r="A18" s="11">
        <v>1480</v>
      </c>
      <c r="B18" s="9">
        <v>1286656</v>
      </c>
      <c r="C18" s="2"/>
      <c r="D18" s="2"/>
      <c r="E18" s="12"/>
      <c r="F18" s="2"/>
      <c r="G18" s="12"/>
    </row>
    <row r="19" spans="1:7" ht="12.75">
      <c r="A19" s="11"/>
      <c r="B19" s="9"/>
      <c r="C19" s="2"/>
      <c r="D19" s="2"/>
      <c r="E19" s="12"/>
      <c r="F19" s="2"/>
      <c r="G19" s="12"/>
    </row>
    <row r="20" spans="1:7" ht="12.75">
      <c r="A20" s="11" t="s">
        <v>20</v>
      </c>
      <c r="B20" s="9">
        <f>SUM(B14:B19)/5</f>
        <v>1286656</v>
      </c>
      <c r="C20" s="2"/>
      <c r="D20" s="2"/>
      <c r="E20" s="12"/>
      <c r="F20" s="2"/>
      <c r="G20" s="12"/>
    </row>
    <row r="21" spans="1:7" ht="12.75">
      <c r="A21" s="11"/>
      <c r="B21" s="9"/>
      <c r="C21" s="2"/>
      <c r="D21" s="2"/>
      <c r="E21" s="12"/>
      <c r="F21" s="2"/>
      <c r="G21" s="12"/>
    </row>
    <row r="22" spans="1:7" ht="12.75">
      <c r="A22" s="11">
        <v>1481</v>
      </c>
      <c r="B22" s="9">
        <v>1400504</v>
      </c>
      <c r="C22" s="2"/>
      <c r="D22" s="2"/>
      <c r="E22" s="12"/>
      <c r="F22" s="2"/>
      <c r="G22" s="12"/>
    </row>
    <row r="23" spans="1:7" ht="12.75">
      <c r="A23" s="11">
        <v>1482</v>
      </c>
      <c r="B23" s="9">
        <v>1400504</v>
      </c>
      <c r="C23" s="2"/>
      <c r="D23" s="2"/>
      <c r="E23" s="12"/>
      <c r="F23" s="2"/>
      <c r="G23" s="12"/>
    </row>
    <row r="24" spans="1:7" ht="12.75">
      <c r="A24" s="11">
        <v>1483</v>
      </c>
      <c r="B24" s="9">
        <v>1400504</v>
      </c>
      <c r="C24" s="2"/>
      <c r="D24" s="2"/>
      <c r="E24" s="12"/>
      <c r="F24" s="2"/>
      <c r="G24" s="12"/>
    </row>
    <row r="25" spans="1:7" ht="12.75">
      <c r="A25" s="11">
        <v>1484</v>
      </c>
      <c r="B25" s="9">
        <v>1400504</v>
      </c>
      <c r="C25" s="2"/>
      <c r="D25" s="2"/>
      <c r="E25" s="12"/>
      <c r="F25" s="2"/>
      <c r="G25" s="12"/>
    </row>
    <row r="26" spans="1:7" ht="12.75">
      <c r="A26" s="11">
        <v>1485</v>
      </c>
      <c r="B26" s="9">
        <v>1400504</v>
      </c>
      <c r="C26" s="2"/>
      <c r="D26" s="2"/>
      <c r="E26" s="12"/>
      <c r="F26" s="2"/>
      <c r="G26" s="12"/>
    </row>
    <row r="27" spans="1:7" ht="12.75">
      <c r="A27" s="11"/>
      <c r="B27" s="9"/>
      <c r="C27" s="2"/>
      <c r="D27" s="2"/>
      <c r="E27" s="12"/>
      <c r="F27" s="2"/>
      <c r="G27" s="12"/>
    </row>
    <row r="28" spans="1:7" ht="12.75">
      <c r="A28" s="11" t="s">
        <v>23</v>
      </c>
      <c r="B28" s="9">
        <f>SUM(B22:B27)/5</f>
        <v>1400504</v>
      </c>
      <c r="C28" s="2"/>
      <c r="D28" s="2"/>
      <c r="E28" s="12"/>
      <c r="F28" s="2"/>
      <c r="G28" s="12"/>
    </row>
    <row r="29" spans="1:7" ht="12.75">
      <c r="A29" s="11"/>
      <c r="B29" s="9"/>
      <c r="C29" s="2"/>
      <c r="D29" s="2"/>
      <c r="E29" s="12"/>
      <c r="F29" s="2"/>
      <c r="G29" s="12"/>
    </row>
    <row r="30" spans="1:7" ht="12.75">
      <c r="A30" s="11">
        <v>1486</v>
      </c>
      <c r="B30" s="9">
        <v>1400504</v>
      </c>
      <c r="C30" s="2"/>
      <c r="D30" s="2"/>
      <c r="E30" s="12"/>
      <c r="F30" s="2"/>
      <c r="G30" s="12"/>
    </row>
    <row r="31" spans="1:7" ht="12.75">
      <c r="A31" s="11">
        <v>1487</v>
      </c>
      <c r="B31" s="9">
        <v>1400504</v>
      </c>
      <c r="C31" s="2"/>
      <c r="D31" s="2"/>
      <c r="E31" s="12"/>
      <c r="F31" s="2"/>
      <c r="G31" s="12"/>
    </row>
    <row r="32" spans="1:7" ht="12.75">
      <c r="A32" s="11">
        <v>1488</v>
      </c>
      <c r="B32" s="9">
        <v>1400504</v>
      </c>
      <c r="C32" s="2"/>
      <c r="D32" s="2"/>
      <c r="E32" s="12"/>
      <c r="F32" s="2"/>
      <c r="G32" s="12"/>
    </row>
    <row r="33" spans="1:7" ht="12.75">
      <c r="A33" s="11">
        <v>1489</v>
      </c>
      <c r="B33" s="9">
        <v>1400504</v>
      </c>
      <c r="C33" s="2"/>
      <c r="D33" s="2"/>
      <c r="E33" s="12"/>
      <c r="F33" s="2"/>
      <c r="G33" s="12"/>
    </row>
    <row r="34" spans="1:7" ht="12.75">
      <c r="A34" s="11">
        <v>1490</v>
      </c>
      <c r="B34" s="9">
        <v>1400504</v>
      </c>
      <c r="C34" s="2"/>
      <c r="D34" s="2"/>
      <c r="E34" s="12"/>
      <c r="F34" s="2"/>
      <c r="G34" s="12"/>
    </row>
    <row r="35" spans="1:7" ht="12.75">
      <c r="A35" s="11"/>
      <c r="B35" s="9"/>
      <c r="C35" s="2"/>
      <c r="D35" s="2"/>
      <c r="E35" s="12"/>
      <c r="F35" s="2"/>
      <c r="G35" s="12"/>
    </row>
    <row r="36" spans="1:7" ht="12.75">
      <c r="A36" s="11" t="s">
        <v>26</v>
      </c>
      <c r="B36" s="9">
        <f>SUM(B30:B35)/5</f>
        <v>1400504</v>
      </c>
      <c r="C36" s="2"/>
      <c r="D36" s="2"/>
      <c r="E36" s="12"/>
      <c r="F36" s="2"/>
      <c r="G36" s="12"/>
    </row>
    <row r="37" spans="1:7" ht="12.75">
      <c r="A37" s="11"/>
      <c r="B37" s="9"/>
      <c r="C37" s="2"/>
      <c r="D37" s="2"/>
      <c r="E37" s="12"/>
      <c r="F37" s="2"/>
      <c r="G37" s="12"/>
    </row>
    <row r="38" spans="1:7" ht="12.75">
      <c r="A38" s="11">
        <v>1491</v>
      </c>
      <c r="B38" s="9">
        <v>1497944</v>
      </c>
      <c r="C38" s="2"/>
      <c r="D38" s="2"/>
      <c r="E38" s="12"/>
      <c r="F38" s="2"/>
      <c r="G38" s="12"/>
    </row>
    <row r="39" spans="1:7" ht="12.75">
      <c r="A39" s="11">
        <v>1492</v>
      </c>
      <c r="B39" s="9">
        <v>1497944</v>
      </c>
      <c r="C39" s="2"/>
      <c r="D39" s="2"/>
      <c r="E39" s="12"/>
      <c r="F39" s="2"/>
      <c r="G39" s="12"/>
    </row>
    <row r="40" spans="1:7" ht="12.75">
      <c r="A40" s="11">
        <v>1493</v>
      </c>
      <c r="B40" s="9">
        <v>1497944</v>
      </c>
      <c r="C40" s="2"/>
      <c r="D40" s="2"/>
      <c r="E40" s="12"/>
      <c r="F40" s="2"/>
      <c r="G40" s="12"/>
    </row>
    <row r="41" spans="1:7" ht="12.75">
      <c r="A41" s="11">
        <v>1494</v>
      </c>
      <c r="B41" s="9">
        <v>2704948.4000000004</v>
      </c>
      <c r="C41" s="2"/>
      <c r="D41" s="2"/>
      <c r="E41" s="12"/>
      <c r="F41" s="2"/>
      <c r="G41" s="12"/>
    </row>
    <row r="42" spans="1:7" ht="12.75">
      <c r="A42" s="11">
        <v>1495</v>
      </c>
      <c r="B42" s="9">
        <v>2704948.4000000004</v>
      </c>
      <c r="C42" s="2"/>
      <c r="D42" s="2"/>
      <c r="E42" s="12"/>
      <c r="F42" s="2"/>
      <c r="G42" s="12"/>
    </row>
    <row r="43" spans="1:7" ht="12.75">
      <c r="A43" s="11"/>
      <c r="B43" s="9"/>
      <c r="C43" s="2"/>
      <c r="D43" s="2"/>
      <c r="E43" s="12"/>
      <c r="F43" s="2"/>
      <c r="G43" s="12"/>
    </row>
    <row r="44" spans="1:7" ht="12.75">
      <c r="A44" s="11" t="s">
        <v>31</v>
      </c>
      <c r="B44" s="9">
        <f>SUM(B38:B43)/5</f>
        <v>1980745.7600000002</v>
      </c>
      <c r="C44" s="2"/>
      <c r="D44" s="2"/>
      <c r="E44" s="12"/>
      <c r="F44" s="2"/>
      <c r="G44" s="12"/>
    </row>
    <row r="45" spans="1:7" ht="12.75">
      <c r="A45" s="11"/>
      <c r="B45" s="9"/>
      <c r="C45" s="2"/>
      <c r="D45" s="2"/>
      <c r="E45" s="12"/>
      <c r="F45" s="2"/>
      <c r="G45" s="12"/>
    </row>
    <row r="46" spans="1:7" ht="12.75">
      <c r="A46" s="11">
        <v>1496</v>
      </c>
      <c r="B46" s="9">
        <v>2704948.4000000004</v>
      </c>
      <c r="C46" s="2">
        <v>1390392.3388</v>
      </c>
      <c r="D46" s="2">
        <v>446742.2312</v>
      </c>
      <c r="E46" s="12">
        <v>0.3213065972339634</v>
      </c>
      <c r="F46" s="2">
        <v>6629.1996</v>
      </c>
      <c r="G46" s="12">
        <v>0.004767862577350962</v>
      </c>
    </row>
    <row r="47" spans="1:7" ht="12.75">
      <c r="A47" s="11">
        <v>1497</v>
      </c>
      <c r="B47" s="9">
        <v>2704948.4000000004</v>
      </c>
      <c r="C47" s="2">
        <v>1390392.3388</v>
      </c>
      <c r="D47" s="2">
        <v>446742.2312</v>
      </c>
      <c r="E47" s="12">
        <v>0.3213065972339634</v>
      </c>
      <c r="F47" s="2">
        <v>6629.1996</v>
      </c>
      <c r="G47" s="12">
        <v>0.004767862577350962</v>
      </c>
    </row>
    <row r="48" spans="1:7" ht="12.75">
      <c r="A48" s="11">
        <v>1498</v>
      </c>
      <c r="B48" s="9">
        <v>2704948.4000000004</v>
      </c>
      <c r="C48" s="2">
        <v>1390392.3388</v>
      </c>
      <c r="D48" s="2">
        <v>446742.2312</v>
      </c>
      <c r="E48" s="12">
        <v>0.3213065972339634</v>
      </c>
      <c r="F48" s="2">
        <v>6629.1996</v>
      </c>
      <c r="G48" s="12">
        <v>0.004767862577350962</v>
      </c>
    </row>
    <row r="49" spans="1:7" ht="12.75">
      <c r="A49" s="11">
        <v>1499</v>
      </c>
      <c r="B49" s="9">
        <v>2704948.4000000004</v>
      </c>
      <c r="C49" s="2">
        <v>1390392.3388</v>
      </c>
      <c r="D49" s="2">
        <v>446742.2312</v>
      </c>
      <c r="E49" s="12">
        <v>0.3213065972339634</v>
      </c>
      <c r="F49" s="2">
        <v>6629.1996</v>
      </c>
      <c r="G49" s="12">
        <v>0.004767862577350962</v>
      </c>
    </row>
    <row r="50" spans="1:7" ht="12.75">
      <c r="A50" s="11">
        <v>1500</v>
      </c>
      <c r="B50" s="9">
        <v>2704948.4000000004</v>
      </c>
      <c r="C50" s="2">
        <v>1390392.3388</v>
      </c>
      <c r="D50" s="2">
        <v>446742.2312</v>
      </c>
      <c r="E50" s="12">
        <v>0.3213065972339634</v>
      </c>
      <c r="F50" s="2">
        <v>336208.5556</v>
      </c>
      <c r="G50" s="12">
        <v>0.24180840631657255</v>
      </c>
    </row>
    <row r="51" spans="1:7" ht="12.75">
      <c r="A51" s="11"/>
      <c r="B51" s="9"/>
      <c r="C51" s="2"/>
      <c r="D51" s="2"/>
      <c r="E51" s="12"/>
      <c r="F51" s="2"/>
      <c r="G51" s="12"/>
    </row>
    <row r="52" spans="1:7" ht="12.75">
      <c r="A52" s="11" t="s">
        <v>33</v>
      </c>
      <c r="B52" s="9">
        <f>SUM(B46:B51)/5</f>
        <v>2704948.4000000004</v>
      </c>
      <c r="C52" s="2">
        <f>SUM(C46:C51)/5</f>
        <v>1390392.3388</v>
      </c>
      <c r="D52" s="2">
        <f>SUM(D46:D51)/5</f>
        <v>446742.2312</v>
      </c>
      <c r="E52" s="12">
        <f>D52/C52</f>
        <v>0.3213065972339634</v>
      </c>
      <c r="F52" s="2">
        <f>SUM(F46:F51)/5</f>
        <v>72545.07080000002</v>
      </c>
      <c r="G52" s="12">
        <f>F52/C52</f>
        <v>0.05217597132519529</v>
      </c>
    </row>
    <row r="53" spans="1:7" ht="12.75">
      <c r="A53" s="11"/>
      <c r="B53" s="9"/>
      <c r="C53" s="2"/>
      <c r="D53" s="2"/>
      <c r="E53" s="12"/>
      <c r="F53" s="2"/>
      <c r="G53" s="12"/>
    </row>
    <row r="54" spans="1:7" ht="12.75">
      <c r="A54" s="11">
        <v>1501</v>
      </c>
      <c r="B54" s="9">
        <v>2784580.4000000004</v>
      </c>
      <c r="C54" s="2">
        <v>1390392.3388</v>
      </c>
      <c r="D54" s="2">
        <v>446742.2312</v>
      </c>
      <c r="E54" s="12">
        <v>0.3213065972339634</v>
      </c>
      <c r="F54" s="2">
        <v>336208.5556</v>
      </c>
      <c r="G54" s="12">
        <v>0.24180840631657255</v>
      </c>
    </row>
    <row r="55" spans="1:7" ht="12.75">
      <c r="A55" s="11">
        <v>1502</v>
      </c>
      <c r="B55" s="9">
        <v>2784580.4000000004</v>
      </c>
      <c r="C55" s="2">
        <v>1390392.3388</v>
      </c>
      <c r="D55" s="2">
        <v>446742.2312</v>
      </c>
      <c r="E55" s="12">
        <v>0.3213065972339634</v>
      </c>
      <c r="F55" s="2">
        <v>336208.5556</v>
      </c>
      <c r="G55" s="12">
        <v>0.24180840631657255</v>
      </c>
    </row>
    <row r="56" spans="1:7" ht="12.75">
      <c r="A56" s="11">
        <v>1503</v>
      </c>
      <c r="B56" s="9">
        <v>2784580.4000000004</v>
      </c>
      <c r="C56" s="2">
        <v>1390392.3388</v>
      </c>
      <c r="D56" s="2">
        <v>446742.2312</v>
      </c>
      <c r="E56" s="12">
        <v>0.3213065972339634</v>
      </c>
      <c r="F56" s="2">
        <v>434106.7887</v>
      </c>
      <c r="G56" s="12">
        <v>0.31221891590301964</v>
      </c>
    </row>
    <row r="57" spans="1:7" ht="12.75">
      <c r="A57" s="11">
        <v>1504</v>
      </c>
      <c r="B57" s="9">
        <v>3427680.48</v>
      </c>
      <c r="C57" s="2">
        <v>1411984.2531</v>
      </c>
      <c r="D57" s="2">
        <v>384434.8073</v>
      </c>
      <c r="E57" s="12">
        <v>0.2722656477619892</v>
      </c>
      <c r="F57" s="2">
        <v>532005.0218</v>
      </c>
      <c r="G57" s="12">
        <v>0.37677829666441903</v>
      </c>
    </row>
    <row r="58" spans="1:7" ht="12.75">
      <c r="A58" s="11">
        <v>1505</v>
      </c>
      <c r="B58" s="9">
        <v>3427680.48</v>
      </c>
      <c r="C58" s="2">
        <v>1433576.1674</v>
      </c>
      <c r="D58" s="2">
        <v>322127.3834</v>
      </c>
      <c r="E58" s="12">
        <v>0.22470196612170606</v>
      </c>
      <c r="F58" s="2">
        <v>629903.2548999999</v>
      </c>
      <c r="G58" s="12">
        <v>0.4393929455749963</v>
      </c>
    </row>
    <row r="59" spans="1:7" ht="12.75">
      <c r="A59" s="11"/>
      <c r="B59" s="9"/>
      <c r="C59" s="2"/>
      <c r="D59" s="2"/>
      <c r="E59" s="12"/>
      <c r="F59" s="2"/>
      <c r="G59" s="12"/>
    </row>
    <row r="60" spans="1:7" ht="12.75">
      <c r="A60" s="11" t="s">
        <v>36</v>
      </c>
      <c r="B60" s="9">
        <f>SUM(B54:B59)/5</f>
        <v>3041820.4320000005</v>
      </c>
      <c r="C60" s="2">
        <f>SUM(C54:C59)/5</f>
        <v>1403347.48738</v>
      </c>
      <c r="D60" s="2">
        <f>SUM(D54:D59)/5</f>
        <v>409357.77686</v>
      </c>
      <c r="E60" s="12">
        <f>D60/C60</f>
        <v>0.2917009368964321</v>
      </c>
      <c r="F60" s="2">
        <f>SUM(F54:F59)/5</f>
        <v>453686.43532</v>
      </c>
      <c r="G60" s="12">
        <f>F60/C60</f>
        <v>0.32328873596874885</v>
      </c>
    </row>
    <row r="61" spans="1:7" ht="12.75">
      <c r="A61" s="11"/>
      <c r="B61" s="9"/>
      <c r="C61" s="2"/>
      <c r="D61" s="2"/>
      <c r="E61" s="12"/>
      <c r="F61" s="2"/>
      <c r="G61" s="12"/>
    </row>
    <row r="62" spans="1:7" ht="12.75">
      <c r="A62" s="11">
        <v>1506</v>
      </c>
      <c r="B62" s="9">
        <v>4724083.95869858</v>
      </c>
      <c r="C62" s="2">
        <v>1455168.0817</v>
      </c>
      <c r="D62" s="2">
        <v>259819.9595</v>
      </c>
      <c r="E62" s="12">
        <v>0.17854979281600608</v>
      </c>
      <c r="F62" s="2">
        <v>678852.37145</v>
      </c>
      <c r="G62" s="12">
        <v>0.46651131232684184</v>
      </c>
    </row>
    <row r="63" spans="1:7" ht="12.75">
      <c r="A63" s="11">
        <v>1507</v>
      </c>
      <c r="B63" s="9">
        <v>4370882.78345326</v>
      </c>
      <c r="C63" s="2">
        <v>1476759.996</v>
      </c>
      <c r="D63" s="2">
        <v>197512.5356</v>
      </c>
      <c r="E63" s="12">
        <v>0.13374721426297356</v>
      </c>
      <c r="F63" s="2">
        <v>727801.488</v>
      </c>
      <c r="G63" s="12">
        <v>0.49283667621776506</v>
      </c>
    </row>
    <row r="64" spans="1:7" ht="12.75">
      <c r="A64" s="11">
        <v>1508</v>
      </c>
      <c r="B64" s="9">
        <v>4437686.08820794</v>
      </c>
      <c r="C64" s="2">
        <v>1476759.996</v>
      </c>
      <c r="D64" s="2">
        <v>197512.5356</v>
      </c>
      <c r="E64" s="12">
        <v>0.13374721426297356</v>
      </c>
      <c r="F64" s="2">
        <v>727801.488</v>
      </c>
      <c r="G64" s="12">
        <v>0.49283667621776506</v>
      </c>
    </row>
    <row r="65" spans="1:7" ht="12.75">
      <c r="A65" s="11">
        <v>1509</v>
      </c>
      <c r="B65" s="9">
        <v>4295851.626928176</v>
      </c>
      <c r="C65" s="2">
        <v>1476759.996</v>
      </c>
      <c r="D65" s="2">
        <v>197512.5356</v>
      </c>
      <c r="E65" s="12">
        <v>0.13374721426297356</v>
      </c>
      <c r="F65" s="2">
        <v>727801.488</v>
      </c>
      <c r="G65" s="12">
        <v>0.49283667621776506</v>
      </c>
    </row>
    <row r="66" spans="1:7" ht="12.75">
      <c r="A66" s="11">
        <v>1510</v>
      </c>
      <c r="B66" s="9">
        <v>6023160.149109898</v>
      </c>
      <c r="C66" s="2">
        <v>2253786.8172</v>
      </c>
      <c r="D66" s="2">
        <v>70852.5092</v>
      </c>
      <c r="E66" s="12">
        <v>0.03143709451989069</v>
      </c>
      <c r="F66" s="2">
        <v>1236510.28</v>
      </c>
      <c r="G66" s="12">
        <v>0.5486367524041972</v>
      </c>
    </row>
    <row r="67" spans="1:7" ht="12.75">
      <c r="A67" s="11"/>
      <c r="B67" s="9"/>
      <c r="C67" s="2"/>
      <c r="D67" s="2"/>
      <c r="E67" s="12"/>
      <c r="F67" s="2"/>
      <c r="G67" s="12"/>
    </row>
    <row r="68" spans="1:7" ht="12.75">
      <c r="A68" s="11" t="s">
        <v>40</v>
      </c>
      <c r="B68" s="9">
        <f>SUM(B62:B67)/5</f>
        <v>4770332.92127957</v>
      </c>
      <c r="C68" s="2">
        <f>SUM(C62:C67)/5</f>
        <v>1627846.97738</v>
      </c>
      <c r="D68" s="2">
        <f>SUM(D62:D67)/5</f>
        <v>184642.01510000002</v>
      </c>
      <c r="E68" s="12">
        <f>D68/C68</f>
        <v>0.11342713268858913</v>
      </c>
      <c r="F68" s="2">
        <f>SUM(F62:F67)/5</f>
        <v>819753.4230899999</v>
      </c>
      <c r="G68" s="12">
        <f>F68/C68</f>
        <v>0.503581377415083</v>
      </c>
    </row>
    <row r="69" spans="1:7" ht="12.75">
      <c r="A69" s="11"/>
      <c r="B69" s="9"/>
      <c r="C69" s="2"/>
      <c r="D69" s="2"/>
      <c r="E69" s="12"/>
      <c r="F69" s="2"/>
      <c r="G69" s="12"/>
    </row>
    <row r="70" spans="1:7" ht="12.75">
      <c r="A70" s="11">
        <v>1511</v>
      </c>
      <c r="B70" s="9">
        <v>6239872.17020076</v>
      </c>
      <c r="C70" s="2">
        <v>2253786.8172</v>
      </c>
      <c r="D70" s="2">
        <v>70852.5092</v>
      </c>
      <c r="E70" s="12">
        <v>0.03143709451989069</v>
      </c>
      <c r="F70" s="2">
        <v>1236510.28</v>
      </c>
      <c r="G70" s="12">
        <v>0.5486367524041972</v>
      </c>
    </row>
    <row r="71" spans="1:7" ht="12.75">
      <c r="A71" s="11">
        <v>1512</v>
      </c>
      <c r="B71" s="9">
        <v>6327840.191291621</v>
      </c>
      <c r="C71" s="2">
        <v>2253786.8172</v>
      </c>
      <c r="D71" s="2">
        <v>70852.5092</v>
      </c>
      <c r="E71" s="12">
        <v>0.03143709451989069</v>
      </c>
      <c r="F71" s="2">
        <v>1236510.28</v>
      </c>
      <c r="G71" s="12">
        <v>0.5486367524041972</v>
      </c>
    </row>
    <row r="72" spans="1:7" ht="12.75">
      <c r="A72" s="11">
        <v>1513</v>
      </c>
      <c r="B72" s="9">
        <v>5237883.821691096</v>
      </c>
      <c r="C72" s="2">
        <v>1263450.2188</v>
      </c>
      <c r="D72" s="2">
        <v>53362.706</v>
      </c>
      <c r="E72" s="12">
        <v>0.04223570126148923</v>
      </c>
      <c r="F72" s="2">
        <v>789862.08</v>
      </c>
      <c r="G72" s="12">
        <v>0.6251628028132327</v>
      </c>
    </row>
    <row r="73" spans="1:7" ht="12.75">
      <c r="A73" s="11">
        <v>1514</v>
      </c>
      <c r="B73" s="9">
        <v>5234174.495839112</v>
      </c>
      <c r="C73" s="2">
        <v>1263450.2188</v>
      </c>
      <c r="D73" s="2">
        <v>53362.706</v>
      </c>
      <c r="E73" s="12">
        <v>0.04223570126148923</v>
      </c>
      <c r="F73" s="2">
        <v>789862.08</v>
      </c>
      <c r="G73" s="12">
        <v>0.6251628028132327</v>
      </c>
    </row>
    <row r="74" spans="1:7" ht="12.75">
      <c r="A74" s="11">
        <v>1515</v>
      </c>
      <c r="B74" s="9">
        <v>5230465.169987128</v>
      </c>
      <c r="C74" s="2">
        <v>1263450.2188</v>
      </c>
      <c r="D74" s="2">
        <v>53362.706</v>
      </c>
      <c r="E74" s="12">
        <v>0.04223570126148923</v>
      </c>
      <c r="F74" s="2">
        <v>789862.08</v>
      </c>
      <c r="G74" s="12">
        <v>0.6251628028132327</v>
      </c>
    </row>
    <row r="75" spans="1:7" ht="12.75">
      <c r="A75" s="11"/>
      <c r="B75" s="9"/>
      <c r="C75" s="2"/>
      <c r="D75" s="2"/>
      <c r="E75" s="12"/>
      <c r="F75" s="2"/>
      <c r="G75" s="12"/>
    </row>
    <row r="76" spans="1:7" ht="12.75">
      <c r="A76" s="11" t="s">
        <v>43</v>
      </c>
      <c r="B76" s="9">
        <f>SUM(B70:B75)/5</f>
        <v>5654047.169801943</v>
      </c>
      <c r="C76" s="2">
        <f>SUM(C70:C75)/5</f>
        <v>1659584.8581599998</v>
      </c>
      <c r="D76" s="2">
        <f>SUM(D70:D75)/5</f>
        <v>60358.62728</v>
      </c>
      <c r="E76" s="12">
        <f>D76/C76</f>
        <v>0.03636971437960713</v>
      </c>
      <c r="F76" s="2">
        <f>SUM(F70:F75)/5</f>
        <v>968521.36</v>
      </c>
      <c r="G76" s="12">
        <f>F76/C76</f>
        <v>0.5835925504127643</v>
      </c>
    </row>
    <row r="77" spans="1:7" ht="12.75">
      <c r="A77" s="11"/>
      <c r="B77" s="9"/>
      <c r="C77" s="2"/>
      <c r="D77" s="2"/>
      <c r="E77" s="12"/>
      <c r="F77" s="2"/>
      <c r="G77" s="12"/>
    </row>
    <row r="78" spans="1:7" ht="12.75">
      <c r="A78" s="11">
        <v>1516</v>
      </c>
      <c r="B78" s="9">
        <v>5125444.260182224</v>
      </c>
      <c r="C78" s="2">
        <v>1358280.684</v>
      </c>
      <c r="D78" s="2">
        <v>4701.5599999999995</v>
      </c>
      <c r="E78" s="12">
        <v>0.003461405330564209</v>
      </c>
      <c r="F78" s="2">
        <v>685111.3232</v>
      </c>
      <c r="G78" s="12">
        <v>0.5043959847698166</v>
      </c>
    </row>
    <row r="79" spans="1:7" ht="12.75">
      <c r="A79" s="11">
        <v>1517</v>
      </c>
      <c r="B79" s="9">
        <v>5151970.665279772</v>
      </c>
      <c r="C79" s="2">
        <v>1358280.684</v>
      </c>
      <c r="D79" s="2">
        <v>4701.5599999999995</v>
      </c>
      <c r="E79" s="12">
        <v>0.003461405330564209</v>
      </c>
      <c r="F79" s="2">
        <v>685111.3232</v>
      </c>
      <c r="G79" s="12">
        <v>0.5043959847698166</v>
      </c>
    </row>
    <row r="80" spans="1:7" ht="12.75">
      <c r="A80" s="11">
        <v>1518</v>
      </c>
      <c r="B80" s="9">
        <v>5165233.867828546</v>
      </c>
      <c r="C80" s="2">
        <v>1358280.684</v>
      </c>
      <c r="D80" s="2">
        <v>4701.5599999999995</v>
      </c>
      <c r="E80" s="12">
        <v>0.003461405330564209</v>
      </c>
      <c r="F80" s="2">
        <v>685111.3232</v>
      </c>
      <c r="G80" s="12">
        <v>0.5043959847698166</v>
      </c>
    </row>
    <row r="81" spans="1:7" ht="12.75">
      <c r="A81" s="11">
        <v>1519</v>
      </c>
      <c r="B81" s="9">
        <v>5318646.870377321</v>
      </c>
      <c r="C81" s="2">
        <v>1434963.1276</v>
      </c>
      <c r="D81" s="2">
        <v>66809.1676</v>
      </c>
      <c r="E81" s="12">
        <v>0.04655810753251859</v>
      </c>
      <c r="F81" s="2">
        <v>488633.1308</v>
      </c>
      <c r="G81" s="12">
        <v>0.34051964221355785</v>
      </c>
    </row>
    <row r="82" spans="1:7" ht="12.75">
      <c r="A82" s="11">
        <v>1520</v>
      </c>
      <c r="B82" s="9">
        <v>5254191.4271292705</v>
      </c>
      <c r="C82" s="2">
        <v>1434963.1276</v>
      </c>
      <c r="D82" s="2">
        <v>66809.1676</v>
      </c>
      <c r="E82" s="12">
        <v>0.04655810753251859</v>
      </c>
      <c r="F82" s="2">
        <v>488633.1308</v>
      </c>
      <c r="G82" s="12">
        <v>0.34051964221355785</v>
      </c>
    </row>
    <row r="83" spans="1:7" ht="12.75">
      <c r="A83" s="11"/>
      <c r="B83" s="9"/>
      <c r="C83" s="2"/>
      <c r="D83" s="2"/>
      <c r="E83" s="12"/>
      <c r="F83" s="2"/>
      <c r="G83" s="12"/>
    </row>
    <row r="84" spans="1:7" ht="12.75">
      <c r="A84" s="11" t="s">
        <v>46</v>
      </c>
      <c r="B84" s="9">
        <f>SUM(B78:B83)/5</f>
        <v>5203097.418159427</v>
      </c>
      <c r="C84" s="2">
        <f>SUM(C78:C83)/5</f>
        <v>1388953.66144</v>
      </c>
      <c r="D84" s="2">
        <f>SUM(D78:D83)/5</f>
        <v>29544.603039999998</v>
      </c>
      <c r="E84" s="12">
        <f>D84/C84</f>
        <v>0.02127112218370884</v>
      </c>
      <c r="F84" s="2">
        <f>SUM(F78:F83)/5</f>
        <v>606520.0462399999</v>
      </c>
      <c r="G84" s="12">
        <f>F84/C84</f>
        <v>0.436674068457539</v>
      </c>
    </row>
    <row r="85" spans="1:7" ht="12.75">
      <c r="A85" s="11"/>
      <c r="B85" s="9"/>
      <c r="C85" s="2"/>
      <c r="D85" s="2"/>
      <c r="E85" s="12"/>
      <c r="F85" s="2"/>
      <c r="G85" s="12"/>
    </row>
    <row r="86" spans="1:7" ht="12.75">
      <c r="A86" s="11">
        <v>1521</v>
      </c>
      <c r="B86" s="9">
        <v>5197099.705505245</v>
      </c>
      <c r="C86" s="2">
        <v>1434963.1276</v>
      </c>
      <c r="D86" s="2">
        <v>66809.1676</v>
      </c>
      <c r="E86" s="12">
        <v>0.04655810753251859</v>
      </c>
      <c r="F86" s="2">
        <v>488633.1308</v>
      </c>
      <c r="G86" s="12">
        <v>0.34051964221355785</v>
      </c>
    </row>
    <row r="87" spans="1:7" ht="12.75">
      <c r="A87" s="11">
        <v>1522</v>
      </c>
      <c r="B87" s="9">
        <v>5164871.98388122</v>
      </c>
      <c r="C87" s="2">
        <v>1434963.1276</v>
      </c>
      <c r="D87" s="2">
        <v>66809.1676</v>
      </c>
      <c r="E87" s="12">
        <v>0.04655810753251859</v>
      </c>
      <c r="F87" s="2">
        <v>488633.1308</v>
      </c>
      <c r="G87" s="12">
        <v>0.34051964221355785</v>
      </c>
    </row>
    <row r="88" spans="1:7" ht="12.75">
      <c r="A88" s="11">
        <v>1523</v>
      </c>
      <c r="B88" s="9">
        <v>5146413.95316872</v>
      </c>
      <c r="C88" s="2">
        <v>1434963.1276</v>
      </c>
      <c r="D88" s="2">
        <v>66809.1676</v>
      </c>
      <c r="E88" s="12">
        <v>0.04655810753251859</v>
      </c>
      <c r="F88" s="2">
        <v>488633.1308</v>
      </c>
      <c r="G88" s="12">
        <v>0.34051964221355785</v>
      </c>
    </row>
    <row r="89" spans="1:7" ht="12.75">
      <c r="A89" s="11">
        <v>1524</v>
      </c>
      <c r="B89" s="9">
        <v>5491534.82821876</v>
      </c>
      <c r="C89" s="2">
        <v>1434963.1276</v>
      </c>
      <c r="D89" s="2">
        <v>66809.1676</v>
      </c>
      <c r="E89" s="12">
        <v>0.04655810753251859</v>
      </c>
      <c r="F89" s="2">
        <v>488633.1308</v>
      </c>
      <c r="G89" s="12">
        <v>0.34051964221355785</v>
      </c>
    </row>
    <row r="90" spans="1:7" ht="12.75">
      <c r="A90" s="11">
        <v>1525</v>
      </c>
      <c r="B90" s="9">
        <v>5708589.456258105</v>
      </c>
      <c r="C90" s="2">
        <v>1434963.1276</v>
      </c>
      <c r="D90" s="2">
        <v>66809.1676</v>
      </c>
      <c r="E90" s="12">
        <v>0.04655810753251859</v>
      </c>
      <c r="F90" s="2">
        <v>488633.1308</v>
      </c>
      <c r="G90" s="12">
        <v>0.34051964221355785</v>
      </c>
    </row>
    <row r="91" spans="1:7" ht="12.75">
      <c r="A91" s="11"/>
      <c r="B91" s="9"/>
      <c r="C91" s="2"/>
      <c r="D91" s="2"/>
      <c r="E91" s="12"/>
      <c r="F91" s="2"/>
      <c r="G91" s="12"/>
    </row>
    <row r="92" spans="1:7" ht="12.75">
      <c r="A92" s="11" t="s">
        <v>50</v>
      </c>
      <c r="B92" s="9">
        <f>SUM(B86:B91)/5</f>
        <v>5341701.985406409</v>
      </c>
      <c r="C92" s="2">
        <f>SUM(C86:C91)/5</f>
        <v>1434963.1276</v>
      </c>
      <c r="D92" s="2">
        <f>SUM(D86:D91)/5</f>
        <v>66809.1676</v>
      </c>
      <c r="E92" s="12">
        <f>D92/C92</f>
        <v>0.04655810753251859</v>
      </c>
      <c r="F92" s="2">
        <f>SUM(F86:F91)/5</f>
        <v>488633.13080000004</v>
      </c>
      <c r="G92" s="12">
        <f>F92/C92</f>
        <v>0.3405196422135579</v>
      </c>
    </row>
    <row r="93" spans="1:7" ht="12.75">
      <c r="A93" s="11"/>
      <c r="B93" s="9"/>
      <c r="C93" s="2"/>
      <c r="D93" s="2"/>
      <c r="E93" s="12"/>
      <c r="F93" s="2"/>
      <c r="G93" s="12"/>
    </row>
    <row r="94" spans="1:7" ht="12.75">
      <c r="A94" s="11">
        <v>1526</v>
      </c>
      <c r="B94" s="9">
        <v>5436104.964297448</v>
      </c>
      <c r="C94" s="2">
        <v>893672.5248</v>
      </c>
      <c r="D94" s="2">
        <v>26704.8608</v>
      </c>
      <c r="E94" s="12">
        <v>0.02988215488215488</v>
      </c>
      <c r="F94" s="2">
        <v>432543.52</v>
      </c>
      <c r="G94" s="12">
        <v>0.484006734006734</v>
      </c>
    </row>
    <row r="95" spans="1:7" ht="12.75">
      <c r="A95" s="11">
        <v>1527</v>
      </c>
      <c r="B95" s="9">
        <v>5330755.38484524</v>
      </c>
      <c r="C95" s="2">
        <v>1105007.6468</v>
      </c>
      <c r="D95" s="2">
        <v>61919.5452</v>
      </c>
      <c r="E95" s="12">
        <v>0.05603539973620389</v>
      </c>
      <c r="F95" s="2">
        <v>673686.5324</v>
      </c>
      <c r="G95" s="12">
        <v>0.6096668510402927</v>
      </c>
    </row>
    <row r="96" spans="1:7" ht="12.75">
      <c r="A96" s="11">
        <v>1528</v>
      </c>
      <c r="B96" s="9">
        <v>5270449.30690136</v>
      </c>
      <c r="C96" s="2">
        <v>1105007.6468</v>
      </c>
      <c r="D96" s="2">
        <v>61919.5452</v>
      </c>
      <c r="E96" s="12">
        <v>0.05603539973620389</v>
      </c>
      <c r="F96" s="2">
        <v>673686.5324</v>
      </c>
      <c r="G96" s="12">
        <v>0.6096668510402927</v>
      </c>
    </row>
    <row r="97" spans="1:7" ht="12.75">
      <c r="A97" s="11">
        <v>1529</v>
      </c>
      <c r="B97" s="9">
        <v>5210143.22895748</v>
      </c>
      <c r="C97" s="2">
        <v>1105007.6468</v>
      </c>
      <c r="D97" s="2">
        <v>61919.5452</v>
      </c>
      <c r="E97" s="12">
        <v>0.05603539973620389</v>
      </c>
      <c r="F97" s="2">
        <v>673686.5324</v>
      </c>
      <c r="G97" s="12">
        <v>0.6096668510402927</v>
      </c>
    </row>
    <row r="98" spans="1:7" ht="12.75">
      <c r="A98" s="11">
        <v>1530</v>
      </c>
      <c r="B98" s="9">
        <v>5128787.612789065</v>
      </c>
      <c r="C98" s="2">
        <v>1105007.6468</v>
      </c>
      <c r="D98" s="2">
        <v>61919.5452</v>
      </c>
      <c r="E98" s="12">
        <v>0.05603539973620389</v>
      </c>
      <c r="F98" s="2">
        <v>673686.5324</v>
      </c>
      <c r="G98" s="12">
        <v>0.6096668510402927</v>
      </c>
    </row>
    <row r="99" spans="1:7" ht="12.75">
      <c r="A99" s="11"/>
      <c r="B99" s="9"/>
      <c r="C99" s="2"/>
      <c r="D99" s="2"/>
      <c r="E99" s="12"/>
      <c r="F99" s="2"/>
      <c r="G99" s="12"/>
    </row>
    <row r="100" spans="1:7" ht="12.75">
      <c r="A100" s="11" t="s">
        <v>53</v>
      </c>
      <c r="B100" s="9">
        <f>SUM(B94:B99)/5</f>
        <v>5275248.099558119</v>
      </c>
      <c r="C100" s="2">
        <f>SUM(C94:C99)/5</f>
        <v>1062740.6224000002</v>
      </c>
      <c r="D100" s="2">
        <f>SUM(D94:D99)/5</f>
        <v>54876.60832</v>
      </c>
      <c r="E100" s="12">
        <f>D100/C100</f>
        <v>0.0516368784285967</v>
      </c>
      <c r="F100" s="2">
        <f>SUM(F94:F99)/5</f>
        <v>625457.9299199999</v>
      </c>
      <c r="G100" s="12">
        <f>F100/C100</f>
        <v>0.5885330030083169</v>
      </c>
    </row>
    <row r="101" spans="1:7" ht="12.75">
      <c r="A101" s="11"/>
      <c r="B101" s="9"/>
      <c r="C101" s="2"/>
      <c r="D101" s="2"/>
      <c r="E101" s="12"/>
      <c r="F101" s="2"/>
      <c r="G101" s="12"/>
    </row>
    <row r="102" spans="1:7" ht="12.75">
      <c r="A102" s="11">
        <v>1531</v>
      </c>
      <c r="B102" s="9">
        <v>4733159.99662065</v>
      </c>
      <c r="C102" s="2">
        <v>1105007.6468</v>
      </c>
      <c r="D102" s="2">
        <v>61919.5452</v>
      </c>
      <c r="E102" s="12">
        <v>0.05603539973620389</v>
      </c>
      <c r="F102" s="2">
        <v>673686.5324</v>
      </c>
      <c r="G102" s="12">
        <v>0.6096668510402927</v>
      </c>
    </row>
    <row r="103" spans="1:7" ht="12.75">
      <c r="A103" s="11">
        <v>1532</v>
      </c>
      <c r="B103" s="9">
        <v>4733159.99662065</v>
      </c>
      <c r="C103" s="2">
        <v>1105007.6468</v>
      </c>
      <c r="D103" s="2">
        <v>61919.5452</v>
      </c>
      <c r="E103" s="12">
        <v>0.05603539973620389</v>
      </c>
      <c r="F103" s="2">
        <v>673686.5324</v>
      </c>
      <c r="G103" s="12">
        <v>0.6096668510402927</v>
      </c>
    </row>
    <row r="104" spans="1:7" ht="12.75">
      <c r="A104" s="11">
        <v>1533</v>
      </c>
      <c r="B104" s="9">
        <v>4651804.380452235</v>
      </c>
      <c r="C104" s="2">
        <v>944402.3572</v>
      </c>
      <c r="D104" s="2">
        <v>144808.048</v>
      </c>
      <c r="E104" s="12">
        <v>0.15333300144371984</v>
      </c>
      <c r="F104" s="2">
        <v>456615.5072</v>
      </c>
      <c r="G104" s="12">
        <v>0.48349678896798925</v>
      </c>
    </row>
    <row r="105" spans="1:7" ht="12.75">
      <c r="A105" s="11">
        <v>1534</v>
      </c>
      <c r="B105" s="9">
        <v>4570448.76428382</v>
      </c>
      <c r="C105" s="2">
        <v>944402.3572</v>
      </c>
      <c r="D105" s="2">
        <v>144808.048</v>
      </c>
      <c r="E105" s="12">
        <v>0.15333300144371984</v>
      </c>
      <c r="F105" s="2">
        <v>456615.5072</v>
      </c>
      <c r="G105" s="12">
        <v>0.48349678896798925</v>
      </c>
    </row>
    <row r="106" spans="1:7" ht="12.75">
      <c r="A106" s="11">
        <v>1535</v>
      </c>
      <c r="B106" s="9">
        <v>4455858.356335706</v>
      </c>
      <c r="C106" s="2">
        <v>944402.3572</v>
      </c>
      <c r="D106" s="2">
        <v>144808.048</v>
      </c>
      <c r="E106" s="12">
        <v>0.15333300144371984</v>
      </c>
      <c r="F106" s="2">
        <v>456615.5072</v>
      </c>
      <c r="G106" s="12">
        <v>0.48349678896798925</v>
      </c>
    </row>
    <row r="107" spans="1:7" ht="12.75">
      <c r="A107" s="11"/>
      <c r="B107" s="9"/>
      <c r="C107" s="2"/>
      <c r="D107" s="2"/>
      <c r="E107" s="12"/>
      <c r="F107" s="2"/>
      <c r="G107" s="12"/>
    </row>
    <row r="108" spans="1:7" ht="12.75">
      <c r="A108" s="11" t="s">
        <v>56</v>
      </c>
      <c r="B108" s="9">
        <f>SUM(B102:B107)/5</f>
        <v>4628886.298862613</v>
      </c>
      <c r="C108" s="2">
        <f>SUM(C102:C107)/5</f>
        <v>1008644.47304</v>
      </c>
      <c r="D108" s="2">
        <f>SUM(D102:D107)/5</f>
        <v>111652.64687999999</v>
      </c>
      <c r="E108" s="12">
        <f>D108/C108</f>
        <v>0.11069574053529976</v>
      </c>
      <c r="F108" s="2">
        <f>SUM(F102:F107)/5</f>
        <v>543443.9172799999</v>
      </c>
      <c r="G108" s="12">
        <f>F108/C108</f>
        <v>0.5387863928328377</v>
      </c>
    </row>
    <row r="109" spans="1:7" ht="12.75">
      <c r="A109" s="11"/>
      <c r="B109" s="9"/>
      <c r="C109" s="2"/>
      <c r="D109" s="2"/>
      <c r="E109" s="12"/>
      <c r="F109" s="2"/>
      <c r="G109" s="12"/>
    </row>
    <row r="110" spans="1:7" ht="12.75">
      <c r="A110" s="11">
        <v>1536</v>
      </c>
      <c r="B110" s="9">
        <v>4398563.152361649</v>
      </c>
      <c r="C110" s="2">
        <v>1207783.7484</v>
      </c>
      <c r="D110" s="2">
        <v>150543.9512</v>
      </c>
      <c r="E110" s="12">
        <v>0.12464478959866092</v>
      </c>
      <c r="F110" s="2">
        <v>593242.8408</v>
      </c>
      <c r="G110" s="12">
        <v>0.4911829966133365</v>
      </c>
    </row>
    <row r="111" spans="1:7" ht="12.75">
      <c r="A111" s="11">
        <v>1537</v>
      </c>
      <c r="B111" s="9">
        <v>4341267.948387592</v>
      </c>
      <c r="C111" s="2">
        <v>1207783.7484</v>
      </c>
      <c r="D111" s="2">
        <v>150543.9512</v>
      </c>
      <c r="E111" s="12">
        <v>0.12464478959866092</v>
      </c>
      <c r="F111" s="2">
        <v>593242.8408</v>
      </c>
      <c r="G111" s="12">
        <v>0.4911829966133365</v>
      </c>
    </row>
    <row r="112" spans="1:7" ht="12.75">
      <c r="A112" s="11">
        <v>1538</v>
      </c>
      <c r="B112" s="9">
        <v>4402081.99133668</v>
      </c>
      <c r="C112" s="2">
        <v>1207783.7484</v>
      </c>
      <c r="D112" s="2">
        <v>150543.9512</v>
      </c>
      <c r="E112" s="12">
        <v>0.12464478959866092</v>
      </c>
      <c r="F112" s="2">
        <v>593242.8408</v>
      </c>
      <c r="G112" s="12">
        <v>0.4911829966133365</v>
      </c>
    </row>
    <row r="113" spans="1:7" ht="12.75">
      <c r="A113" s="11">
        <v>1539</v>
      </c>
      <c r="B113" s="9">
        <v>4281316.264633392</v>
      </c>
      <c r="C113" s="2">
        <v>1207783.7484</v>
      </c>
      <c r="D113" s="2">
        <v>150543.9512</v>
      </c>
      <c r="E113" s="12">
        <v>0.12464478959866092</v>
      </c>
      <c r="F113" s="2">
        <v>593242.8408</v>
      </c>
      <c r="G113" s="12">
        <v>0.4911829966133365</v>
      </c>
    </row>
    <row r="114" spans="1:7" ht="12.75">
      <c r="A114" s="11">
        <v>1540</v>
      </c>
      <c r="B114" s="9">
        <v>4260308.821281748</v>
      </c>
      <c r="C114" s="2">
        <v>1207783.7484</v>
      </c>
      <c r="D114" s="2">
        <v>150543.9512</v>
      </c>
      <c r="E114" s="12">
        <v>0.12464478959866092</v>
      </c>
      <c r="F114" s="2">
        <v>593242.8408</v>
      </c>
      <c r="G114" s="12">
        <v>0.4911829966133365</v>
      </c>
    </row>
    <row r="116" spans="1:7" ht="12.75">
      <c r="A116" s="11" t="s">
        <v>60</v>
      </c>
      <c r="B116" s="9">
        <f>SUM(B110:B115)/5</f>
        <v>4336707.635600212</v>
      </c>
      <c r="C116" s="2">
        <f>SUM(C110:C115)/5</f>
        <v>1207783.7484</v>
      </c>
      <c r="D116" s="2">
        <f>SUM(D110:D115)/5</f>
        <v>150543.9512</v>
      </c>
      <c r="E116" s="12">
        <f>D116/C116</f>
        <v>0.12464478959866092</v>
      </c>
      <c r="F116" s="2">
        <f>SUM(F110:F115)/5</f>
        <v>593242.8408</v>
      </c>
      <c r="G116" s="12">
        <f>F116/C116</f>
        <v>0.4911829966133365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3" max="3" width="14.28125" style="0" customWidth="1"/>
    <col min="4" max="5" width="10.57421875" style="0" customWidth="1"/>
    <col min="6" max="7" width="12.00390625" style="0" customWidth="1"/>
  </cols>
  <sheetData>
    <row r="1" spans="1:4" ht="12.75">
      <c r="A1" s="1"/>
      <c r="B1" s="3" t="s">
        <v>250</v>
      </c>
      <c r="C1" s="2"/>
      <c r="D1" s="2"/>
    </row>
    <row r="2" ht="12.75">
      <c r="B2" s="1" t="s">
        <v>574</v>
      </c>
    </row>
    <row r="3" ht="12.75">
      <c r="B3" s="1"/>
    </row>
    <row r="4" ht="12.75">
      <c r="B4" s="1"/>
    </row>
    <row r="5" spans="2:7" ht="12.75">
      <c r="B5" s="10" t="s">
        <v>559</v>
      </c>
      <c r="C5" s="3" t="s">
        <v>289</v>
      </c>
      <c r="D5" s="3" t="s">
        <v>550</v>
      </c>
      <c r="E5" s="14" t="s">
        <v>550</v>
      </c>
      <c r="F5" s="3" t="s">
        <v>545</v>
      </c>
      <c r="G5" s="14" t="s">
        <v>545</v>
      </c>
    </row>
    <row r="6" spans="2:7" ht="12.75">
      <c r="B6" s="10" t="s">
        <v>285</v>
      </c>
      <c r="C6" s="3" t="s">
        <v>384</v>
      </c>
      <c r="D6" s="3" t="s">
        <v>384</v>
      </c>
      <c r="E6" s="14" t="s">
        <v>471</v>
      </c>
      <c r="F6" s="3" t="s">
        <v>384</v>
      </c>
      <c r="G6" s="14" t="s">
        <v>471</v>
      </c>
    </row>
    <row r="8" spans="1:7" ht="12.75">
      <c r="A8" s="11" t="s">
        <v>31</v>
      </c>
      <c r="B8" s="9">
        <v>1980745.7600000002</v>
      </c>
      <c r="C8" s="2"/>
      <c r="D8" s="2"/>
      <c r="E8" s="12"/>
      <c r="F8" s="2"/>
      <c r="G8" s="12"/>
    </row>
    <row r="9" spans="1:7" ht="12.75">
      <c r="A9" s="11" t="s">
        <v>33</v>
      </c>
      <c r="B9" s="9">
        <v>2704948.4000000004</v>
      </c>
      <c r="C9" s="2">
        <v>1390392.3388</v>
      </c>
      <c r="D9" s="2">
        <v>446742.2312</v>
      </c>
      <c r="E9" s="12">
        <v>0.3213065972339634</v>
      </c>
      <c r="F9" s="2">
        <v>72545.07080000002</v>
      </c>
      <c r="G9" s="12">
        <v>0.05217597132519529</v>
      </c>
    </row>
    <row r="10" spans="1:7" ht="12.75">
      <c r="A10" s="11" t="s">
        <v>36</v>
      </c>
      <c r="B10" s="9">
        <v>3041820.4320000005</v>
      </c>
      <c r="C10" s="2">
        <v>1403347.48738</v>
      </c>
      <c r="D10" s="2">
        <v>409357.77686</v>
      </c>
      <c r="E10" s="12">
        <v>0.2917009368964321</v>
      </c>
      <c r="F10" s="2">
        <v>453686.43532</v>
      </c>
      <c r="G10" s="12">
        <v>0.32328873596874885</v>
      </c>
    </row>
    <row r="11" spans="1:7" ht="12.75">
      <c r="A11" s="11" t="s">
        <v>40</v>
      </c>
      <c r="B11" s="9">
        <v>4770332.92127957</v>
      </c>
      <c r="C11" s="2">
        <v>1627846.97738</v>
      </c>
      <c r="D11" s="2">
        <v>184642.01510000002</v>
      </c>
      <c r="E11" s="12">
        <v>0.11342713268858913</v>
      </c>
      <c r="F11" s="2">
        <v>819753.4230899999</v>
      </c>
      <c r="G11" s="12">
        <v>0.503581377415083</v>
      </c>
    </row>
    <row r="12" spans="1:7" ht="12.75">
      <c r="A12" s="11" t="s">
        <v>43</v>
      </c>
      <c r="B12" s="9">
        <v>5654047.169801943</v>
      </c>
      <c r="C12" s="2">
        <v>1659584.8581599998</v>
      </c>
      <c r="D12" s="2">
        <v>60358.62728</v>
      </c>
      <c r="E12" s="12">
        <v>0.03636971437960713</v>
      </c>
      <c r="F12" s="2">
        <v>968521.36</v>
      </c>
      <c r="G12" s="12">
        <v>0.5835925504127643</v>
      </c>
    </row>
    <row r="13" spans="1:7" ht="12.75">
      <c r="A13" s="11" t="s">
        <v>46</v>
      </c>
      <c r="B13" s="9">
        <v>5203097.418159427</v>
      </c>
      <c r="C13" s="2">
        <v>1388953.66144</v>
      </c>
      <c r="D13" s="2">
        <v>29544.603039999998</v>
      </c>
      <c r="E13" s="12">
        <v>0.02127112218370884</v>
      </c>
      <c r="F13" s="2">
        <v>606520.0462399999</v>
      </c>
      <c r="G13" s="12">
        <v>0.436674068457539</v>
      </c>
    </row>
    <row r="14" spans="1:7" ht="12.75">
      <c r="A14" s="11" t="s">
        <v>50</v>
      </c>
      <c r="B14" s="9">
        <v>5341701.985406409</v>
      </c>
      <c r="C14" s="2">
        <v>1434963.1276</v>
      </c>
      <c r="D14" s="2">
        <v>66809.1676</v>
      </c>
      <c r="E14" s="12">
        <v>0.04655810753251859</v>
      </c>
      <c r="F14" s="2">
        <v>488633.13080000004</v>
      </c>
      <c r="G14" s="12">
        <v>0.3405196422135579</v>
      </c>
    </row>
    <row r="15" spans="1:7" ht="12.75">
      <c r="A15" s="11" t="s">
        <v>53</v>
      </c>
      <c r="B15" s="9">
        <v>5275248.099558119</v>
      </c>
      <c r="C15" s="2">
        <v>1062740.6224000002</v>
      </c>
      <c r="D15" s="2">
        <v>54876.60832</v>
      </c>
      <c r="E15" s="12">
        <v>0.0516368784285967</v>
      </c>
      <c r="F15" s="2">
        <v>625457.9299199999</v>
      </c>
      <c r="G15" s="12">
        <v>0.5885330030083169</v>
      </c>
    </row>
    <row r="16" spans="1:7" ht="12.75">
      <c r="A16" s="11" t="s">
        <v>56</v>
      </c>
      <c r="B16" s="9">
        <v>4628886.298862613</v>
      </c>
      <c r="C16" s="2">
        <v>1008644.47304</v>
      </c>
      <c r="D16" s="2">
        <v>111652.64687999999</v>
      </c>
      <c r="E16" s="12">
        <v>0.11069574053529976</v>
      </c>
      <c r="F16" s="2">
        <v>543443.9172799999</v>
      </c>
      <c r="G16" s="12">
        <v>0.5387863928328377</v>
      </c>
    </row>
    <row r="17" spans="1:7" ht="12.75">
      <c r="A17" s="11" t="s">
        <v>60</v>
      </c>
      <c r="B17" s="9">
        <v>4336707.635600212</v>
      </c>
      <c r="C17" s="2">
        <v>1207783.7484</v>
      </c>
      <c r="D17" s="2">
        <v>150543.9512</v>
      </c>
      <c r="E17" s="12">
        <v>0.12464478959866092</v>
      </c>
      <c r="F17" s="2">
        <v>593242.8408</v>
      </c>
      <c r="G17" s="12">
        <v>0.4911829966133365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2.57421875" style="1" customWidth="1"/>
    <col min="2" max="2" width="10.8515625" style="9" customWidth="1"/>
    <col min="3" max="9" width="8.421875" style="9" customWidth="1"/>
    <col min="10" max="10" width="13.28125" style="5" customWidth="1"/>
  </cols>
  <sheetData>
    <row r="1" spans="2:10" ht="12.75">
      <c r="B1" s="10" t="s">
        <v>452</v>
      </c>
      <c r="C1" s="10"/>
      <c r="D1" s="10"/>
      <c r="E1" s="10"/>
      <c r="F1" s="10"/>
      <c r="G1" s="10"/>
      <c r="H1" s="10"/>
      <c r="I1" s="10"/>
      <c r="J1" s="4"/>
    </row>
    <row r="2" spans="1:10" ht="12.75">
      <c r="A2"/>
      <c r="B2" s="10"/>
      <c r="C2" s="10"/>
      <c r="D2" s="10"/>
      <c r="E2" s="10"/>
      <c r="F2" s="10"/>
      <c r="G2" s="10"/>
      <c r="H2" s="10"/>
      <c r="I2" s="10"/>
      <c r="J2" s="4"/>
    </row>
    <row r="3" spans="2:10" ht="12.75">
      <c r="B3" s="10" t="s">
        <v>337</v>
      </c>
      <c r="C3" s="10"/>
      <c r="D3" s="10"/>
      <c r="E3" s="10"/>
      <c r="F3" s="10"/>
      <c r="G3" s="10"/>
      <c r="H3" s="10"/>
      <c r="I3" s="10"/>
      <c r="J3" s="4"/>
    </row>
    <row r="4" spans="2:10" ht="12.75">
      <c r="B4" s="10" t="s">
        <v>567</v>
      </c>
      <c r="C4" s="10"/>
      <c r="D4" s="10"/>
      <c r="E4" s="10"/>
      <c r="F4" s="10"/>
      <c r="G4" s="10"/>
      <c r="H4" s="10"/>
      <c r="I4" s="10"/>
      <c r="J4" s="4"/>
    </row>
    <row r="5" spans="2:10" ht="12.75">
      <c r="B5" s="10"/>
      <c r="C5" s="10"/>
      <c r="D5" s="10"/>
      <c r="E5" s="10"/>
      <c r="F5" s="10"/>
      <c r="G5" s="10"/>
      <c r="H5" s="10"/>
      <c r="I5" s="10"/>
      <c r="J5" s="4"/>
    </row>
    <row r="6" spans="1:10" ht="12.75">
      <c r="A6" s="1" t="s">
        <v>269</v>
      </c>
      <c r="B6" s="10" t="s">
        <v>248</v>
      </c>
      <c r="C6" s="10" t="s">
        <v>436</v>
      </c>
      <c r="D6" s="10" t="s">
        <v>474</v>
      </c>
      <c r="E6" s="10" t="s">
        <v>451</v>
      </c>
      <c r="F6" s="10" t="s">
        <v>274</v>
      </c>
      <c r="G6" s="10" t="s">
        <v>251</v>
      </c>
      <c r="H6" s="10" t="s">
        <v>245</v>
      </c>
      <c r="I6" s="10" t="s">
        <v>551</v>
      </c>
      <c r="J6" s="4" t="s">
        <v>551</v>
      </c>
    </row>
    <row r="7" spans="2:10" ht="12.75">
      <c r="B7" s="10"/>
      <c r="C7" s="10"/>
      <c r="D7" s="10"/>
      <c r="E7" s="10" t="s">
        <v>313</v>
      </c>
      <c r="F7" s="10"/>
      <c r="G7" s="10"/>
      <c r="H7" s="10"/>
      <c r="I7" s="10" t="s">
        <v>268</v>
      </c>
      <c r="J7" s="4" t="s">
        <v>211</v>
      </c>
    </row>
    <row r="9" spans="1:10" ht="12.75">
      <c r="A9" s="1" t="s">
        <v>27</v>
      </c>
      <c r="B9" s="9">
        <v>1086</v>
      </c>
      <c r="I9" s="9">
        <f aca="true" t="shared" si="0" ref="I9:I40">SUM(B9:H9)</f>
        <v>1086</v>
      </c>
      <c r="J9" s="5">
        <f aca="true" t="shared" si="1" ref="J9:J40">I9/10</f>
        <v>108.6</v>
      </c>
    </row>
    <row r="10" spans="1:10" ht="12.75">
      <c r="A10" s="1" t="s">
        <v>37</v>
      </c>
      <c r="B10" s="9">
        <v>12098</v>
      </c>
      <c r="I10" s="9">
        <f t="shared" si="0"/>
        <v>12098</v>
      </c>
      <c r="J10" s="5">
        <f t="shared" si="1"/>
        <v>1209.8</v>
      </c>
    </row>
    <row r="11" spans="1:10" ht="12.75">
      <c r="A11" s="1" t="s">
        <v>44</v>
      </c>
      <c r="B11" s="9">
        <v>10711</v>
      </c>
      <c r="I11" s="9">
        <f t="shared" si="0"/>
        <v>10711</v>
      </c>
      <c r="J11" s="5">
        <f t="shared" si="1"/>
        <v>1071.1</v>
      </c>
    </row>
    <row r="12" spans="1:10" ht="12.75">
      <c r="A12" s="1" t="s">
        <v>51</v>
      </c>
      <c r="B12" s="9">
        <v>3409</v>
      </c>
      <c r="C12" s="9">
        <v>2358</v>
      </c>
      <c r="I12" s="9">
        <f t="shared" si="0"/>
        <v>5767</v>
      </c>
      <c r="J12" s="5">
        <f t="shared" si="1"/>
        <v>576.7</v>
      </c>
    </row>
    <row r="13" spans="1:10" ht="12.75">
      <c r="A13" s="1" t="s">
        <v>57</v>
      </c>
      <c r="B13" s="9">
        <v>2249</v>
      </c>
      <c r="C13" s="9">
        <v>3769</v>
      </c>
      <c r="D13" s="9">
        <v>8541</v>
      </c>
      <c r="E13" s="9">
        <v>2264</v>
      </c>
      <c r="F13" s="9">
        <v>257</v>
      </c>
      <c r="I13" s="9">
        <f t="shared" si="0"/>
        <v>17080</v>
      </c>
      <c r="J13" s="5">
        <f t="shared" si="1"/>
        <v>1708</v>
      </c>
    </row>
    <row r="14" spans="1:10" ht="12.75">
      <c r="A14" s="1" t="s">
        <v>64</v>
      </c>
      <c r="B14" s="9">
        <v>1315</v>
      </c>
      <c r="C14" s="9">
        <v>1256</v>
      </c>
      <c r="D14" s="9">
        <v>4827</v>
      </c>
      <c r="E14" s="9">
        <v>2089</v>
      </c>
      <c r="F14" s="9">
        <v>868</v>
      </c>
      <c r="G14" s="9">
        <v>3102</v>
      </c>
      <c r="I14" s="9">
        <f t="shared" si="0"/>
        <v>13457</v>
      </c>
      <c r="J14" s="5">
        <f t="shared" si="1"/>
        <v>1345.7</v>
      </c>
    </row>
    <row r="15" spans="1:10" ht="12.75">
      <c r="A15" s="1" t="s">
        <v>68</v>
      </c>
      <c r="B15" s="9">
        <v>53</v>
      </c>
      <c r="C15" s="9">
        <v>124</v>
      </c>
      <c r="D15" s="9">
        <v>3533</v>
      </c>
      <c r="E15" s="9">
        <v>5593</v>
      </c>
      <c r="F15" s="9">
        <v>2549</v>
      </c>
      <c r="G15" s="9">
        <v>4653</v>
      </c>
      <c r="I15" s="9">
        <f t="shared" si="0"/>
        <v>16505</v>
      </c>
      <c r="J15" s="5">
        <f t="shared" si="1"/>
        <v>1650.5</v>
      </c>
    </row>
    <row r="16" spans="1:10" ht="12.75">
      <c r="A16" s="1" t="s">
        <v>71</v>
      </c>
      <c r="C16" s="9">
        <v>124</v>
      </c>
      <c r="D16" s="9">
        <v>1183</v>
      </c>
      <c r="E16" s="9">
        <v>7604</v>
      </c>
      <c r="F16" s="9">
        <v>3226</v>
      </c>
      <c r="G16" s="9">
        <v>1590</v>
      </c>
      <c r="I16" s="9">
        <f t="shared" si="0"/>
        <v>13727</v>
      </c>
      <c r="J16" s="5">
        <f t="shared" si="1"/>
        <v>1372.7</v>
      </c>
    </row>
    <row r="17" spans="1:10" ht="12.75">
      <c r="A17" s="1" t="s">
        <v>74</v>
      </c>
      <c r="C17" s="9">
        <v>78</v>
      </c>
      <c r="D17" s="9">
        <v>1104</v>
      </c>
      <c r="E17" s="9">
        <v>7977</v>
      </c>
      <c r="F17" s="9">
        <v>6143</v>
      </c>
      <c r="G17" s="9">
        <v>4873</v>
      </c>
      <c r="I17" s="9">
        <f t="shared" si="0"/>
        <v>20175</v>
      </c>
      <c r="J17" s="5">
        <f t="shared" si="1"/>
        <v>2017.5</v>
      </c>
    </row>
    <row r="18" spans="1:10" ht="12.75">
      <c r="A18" s="1" t="s">
        <v>77</v>
      </c>
      <c r="C18" s="9">
        <v>82</v>
      </c>
      <c r="D18" s="9">
        <v>1002</v>
      </c>
      <c r="E18" s="9">
        <v>6728</v>
      </c>
      <c r="F18" s="9">
        <v>6442</v>
      </c>
      <c r="G18" s="9">
        <v>1551</v>
      </c>
      <c r="I18" s="9">
        <f t="shared" si="0"/>
        <v>15805</v>
      </c>
      <c r="J18" s="5">
        <f t="shared" si="1"/>
        <v>1580.5</v>
      </c>
    </row>
    <row r="19" spans="1:10" ht="12.75">
      <c r="A19" s="1" t="s">
        <v>80</v>
      </c>
      <c r="C19" s="9">
        <v>1483</v>
      </c>
      <c r="D19" s="9">
        <v>161</v>
      </c>
      <c r="E19" s="9">
        <v>12541</v>
      </c>
      <c r="F19" s="9">
        <v>3486</v>
      </c>
      <c r="G19" s="9">
        <v>776</v>
      </c>
      <c r="I19" s="9">
        <f t="shared" si="0"/>
        <v>18447</v>
      </c>
      <c r="J19" s="5">
        <f t="shared" si="1"/>
        <v>1844.7</v>
      </c>
    </row>
    <row r="20" spans="1:10" ht="12.75">
      <c r="A20" s="1" t="s">
        <v>87</v>
      </c>
      <c r="C20" s="9">
        <v>3535</v>
      </c>
      <c r="D20" s="9">
        <v>80</v>
      </c>
      <c r="E20" s="9">
        <v>13934</v>
      </c>
      <c r="F20" s="9">
        <v>2076</v>
      </c>
      <c r="G20" s="9">
        <v>155</v>
      </c>
      <c r="I20" s="9">
        <f t="shared" si="0"/>
        <v>19780</v>
      </c>
      <c r="J20" s="5">
        <f t="shared" si="1"/>
        <v>1978</v>
      </c>
    </row>
    <row r="21" spans="1:10" ht="12.75">
      <c r="A21" s="1" t="s">
        <v>90</v>
      </c>
      <c r="C21" s="9">
        <v>4010</v>
      </c>
      <c r="D21" s="9">
        <v>1</v>
      </c>
      <c r="E21" s="9">
        <v>11153</v>
      </c>
      <c r="F21" s="9">
        <v>927</v>
      </c>
      <c r="G21" s="9">
        <v>71</v>
      </c>
      <c r="I21" s="9">
        <f t="shared" si="0"/>
        <v>16162</v>
      </c>
      <c r="J21" s="5">
        <f t="shared" si="1"/>
        <v>1616.2</v>
      </c>
    </row>
    <row r="22" spans="1:10" ht="12.75">
      <c r="A22" s="1" t="s">
        <v>94</v>
      </c>
      <c r="C22" s="9">
        <v>4428</v>
      </c>
      <c r="D22" s="9" t="s">
        <v>2</v>
      </c>
      <c r="E22" s="9">
        <v>8951</v>
      </c>
      <c r="F22" s="9">
        <v>1985</v>
      </c>
      <c r="G22" s="9">
        <v>23</v>
      </c>
      <c r="I22" s="9">
        <f t="shared" si="0"/>
        <v>15387</v>
      </c>
      <c r="J22" s="5">
        <f t="shared" si="1"/>
        <v>1538.7</v>
      </c>
    </row>
    <row r="23" spans="1:10" ht="12.75">
      <c r="A23" s="1" t="s">
        <v>97</v>
      </c>
      <c r="C23" s="9">
        <v>3924</v>
      </c>
      <c r="D23" s="9" t="s">
        <v>2</v>
      </c>
      <c r="E23" s="9">
        <v>3548</v>
      </c>
      <c r="F23" s="9">
        <v>635</v>
      </c>
      <c r="G23" s="9">
        <v>19</v>
      </c>
      <c r="I23" s="9">
        <f t="shared" si="0"/>
        <v>8126</v>
      </c>
      <c r="J23" s="5">
        <f t="shared" si="1"/>
        <v>812.6</v>
      </c>
    </row>
    <row r="24" spans="1:10" ht="12.75">
      <c r="A24" s="1" t="s">
        <v>100</v>
      </c>
      <c r="C24" s="9">
        <v>2427</v>
      </c>
      <c r="E24" s="9">
        <v>7885</v>
      </c>
      <c r="F24" s="9">
        <v>131</v>
      </c>
      <c r="I24" s="9">
        <f t="shared" si="0"/>
        <v>10443</v>
      </c>
      <c r="J24" s="5">
        <f t="shared" si="1"/>
        <v>1044.3</v>
      </c>
    </row>
    <row r="25" spans="1:10" ht="12.75">
      <c r="A25" s="1" t="s">
        <v>104</v>
      </c>
      <c r="C25" s="9">
        <v>2687</v>
      </c>
      <c r="D25" s="9">
        <v>2</v>
      </c>
      <c r="E25" s="9">
        <v>7540</v>
      </c>
      <c r="F25" s="9">
        <v>202</v>
      </c>
      <c r="I25" s="9">
        <f t="shared" si="0"/>
        <v>10431</v>
      </c>
      <c r="J25" s="5">
        <f t="shared" si="1"/>
        <v>1043.1</v>
      </c>
    </row>
    <row r="26" spans="1:10" ht="12.75">
      <c r="A26" s="1" t="s">
        <v>108</v>
      </c>
      <c r="C26" s="9">
        <v>2943</v>
      </c>
      <c r="D26" s="9">
        <v>70</v>
      </c>
      <c r="E26" s="9">
        <v>4105</v>
      </c>
      <c r="F26" s="9">
        <v>233</v>
      </c>
      <c r="I26" s="9">
        <f t="shared" si="0"/>
        <v>7351</v>
      </c>
      <c r="J26" s="5">
        <f t="shared" si="1"/>
        <v>735.1</v>
      </c>
    </row>
    <row r="27" spans="1:10" ht="12.75">
      <c r="A27" s="1" t="s">
        <v>111</v>
      </c>
      <c r="C27" s="9">
        <v>2372</v>
      </c>
      <c r="D27" s="9">
        <v>80</v>
      </c>
      <c r="E27" s="9">
        <v>4406</v>
      </c>
      <c r="F27" s="9">
        <v>194</v>
      </c>
      <c r="I27" s="9">
        <f t="shared" si="0"/>
        <v>7052</v>
      </c>
      <c r="J27" s="5">
        <f t="shared" si="1"/>
        <v>705.2</v>
      </c>
    </row>
    <row r="28" spans="1:10" ht="12.75">
      <c r="A28" s="1" t="s">
        <v>114</v>
      </c>
      <c r="C28" s="9">
        <v>2186</v>
      </c>
      <c r="D28" s="9">
        <v>267</v>
      </c>
      <c r="E28" s="9">
        <v>6437</v>
      </c>
      <c r="F28" s="9">
        <v>194</v>
      </c>
      <c r="I28" s="9">
        <f t="shared" si="0"/>
        <v>9084</v>
      </c>
      <c r="J28" s="5">
        <f t="shared" si="1"/>
        <v>908.4</v>
      </c>
    </row>
    <row r="29" spans="1:10" ht="12.75">
      <c r="A29" s="1" t="s">
        <v>117</v>
      </c>
      <c r="C29" s="9">
        <v>2740</v>
      </c>
      <c r="D29" s="9">
        <v>550</v>
      </c>
      <c r="E29" s="9">
        <v>4950</v>
      </c>
      <c r="F29" s="9">
        <v>339</v>
      </c>
      <c r="G29" s="9">
        <v>60</v>
      </c>
      <c r="I29" s="9">
        <f t="shared" si="0"/>
        <v>8639</v>
      </c>
      <c r="J29" s="5">
        <f t="shared" si="1"/>
        <v>863.9</v>
      </c>
    </row>
    <row r="30" spans="1:10" ht="12.75">
      <c r="A30" s="1" t="s">
        <v>124</v>
      </c>
      <c r="C30" s="9">
        <v>2373</v>
      </c>
      <c r="D30" s="9">
        <v>620</v>
      </c>
      <c r="E30" s="9">
        <v>5140</v>
      </c>
      <c r="F30" s="9">
        <v>291</v>
      </c>
      <c r="G30" s="9">
        <v>15</v>
      </c>
      <c r="H30" s="9">
        <v>47597</v>
      </c>
      <c r="I30" s="9">
        <f t="shared" si="0"/>
        <v>56036</v>
      </c>
      <c r="J30" s="5">
        <f t="shared" si="1"/>
        <v>5603.6</v>
      </c>
    </row>
    <row r="31" spans="1:10" ht="12.75">
      <c r="A31" s="1" t="s">
        <v>130</v>
      </c>
      <c r="C31" s="9">
        <v>2665</v>
      </c>
      <c r="D31" s="9">
        <v>404</v>
      </c>
      <c r="E31" s="9">
        <v>7499</v>
      </c>
      <c r="F31" s="9">
        <v>339</v>
      </c>
      <c r="G31" s="9">
        <v>188</v>
      </c>
      <c r="H31" s="9">
        <v>46563</v>
      </c>
      <c r="I31" s="9">
        <f t="shared" si="0"/>
        <v>57658</v>
      </c>
      <c r="J31" s="5">
        <f t="shared" si="1"/>
        <v>5765.8</v>
      </c>
    </row>
    <row r="32" spans="1:10" ht="12.75">
      <c r="A32" s="1" t="s">
        <v>136</v>
      </c>
      <c r="C32" s="9">
        <v>2715</v>
      </c>
      <c r="D32" s="9">
        <v>332</v>
      </c>
      <c r="E32" s="9">
        <v>8570</v>
      </c>
      <c r="F32" s="9">
        <v>144</v>
      </c>
      <c r="G32" s="9">
        <v>254</v>
      </c>
      <c r="H32" s="9">
        <v>103315</v>
      </c>
      <c r="I32" s="9">
        <f t="shared" si="0"/>
        <v>115330</v>
      </c>
      <c r="J32" s="5">
        <f t="shared" si="1"/>
        <v>11533</v>
      </c>
    </row>
    <row r="33" spans="1:10" ht="12.75">
      <c r="A33" s="1" t="s">
        <v>142</v>
      </c>
      <c r="C33" s="9">
        <v>5177</v>
      </c>
      <c r="D33" s="9">
        <v>286</v>
      </c>
      <c r="E33" s="9">
        <v>10210</v>
      </c>
      <c r="F33" s="9">
        <v>96</v>
      </c>
      <c r="G33" s="9">
        <v>426</v>
      </c>
      <c r="H33" s="9">
        <v>137930</v>
      </c>
      <c r="I33" s="9">
        <f t="shared" si="0"/>
        <v>154125</v>
      </c>
      <c r="J33" s="5">
        <f t="shared" si="1"/>
        <v>15412.5</v>
      </c>
    </row>
    <row r="34" spans="1:10" ht="12.75">
      <c r="A34" s="1" t="s">
        <v>148</v>
      </c>
      <c r="C34" s="9">
        <v>7937</v>
      </c>
      <c r="D34" s="9">
        <v>257</v>
      </c>
      <c r="E34" s="9">
        <v>14793</v>
      </c>
      <c r="F34" s="9">
        <v>48</v>
      </c>
      <c r="G34" s="9">
        <v>709</v>
      </c>
      <c r="H34" s="9">
        <v>145430</v>
      </c>
      <c r="I34" s="9">
        <f t="shared" si="0"/>
        <v>169174</v>
      </c>
      <c r="J34" s="5">
        <f t="shared" si="1"/>
        <v>16917.4</v>
      </c>
    </row>
    <row r="35" spans="1:10" ht="12.75">
      <c r="A35" s="1" t="s">
        <v>154</v>
      </c>
      <c r="C35" s="9">
        <v>7972</v>
      </c>
      <c r="D35" s="9">
        <v>191</v>
      </c>
      <c r="E35" s="9">
        <v>17759</v>
      </c>
      <c r="F35" s="9">
        <v>2012</v>
      </c>
      <c r="G35" s="9">
        <v>1108</v>
      </c>
      <c r="H35" s="9">
        <v>111680</v>
      </c>
      <c r="I35" s="9">
        <f t="shared" si="0"/>
        <v>140722</v>
      </c>
      <c r="J35" s="5">
        <f t="shared" si="1"/>
        <v>14072.2</v>
      </c>
    </row>
    <row r="36" spans="1:10" ht="12.75">
      <c r="A36" s="1" t="s">
        <v>159</v>
      </c>
      <c r="C36" s="9">
        <v>10586</v>
      </c>
      <c r="D36" s="9">
        <v>1299</v>
      </c>
      <c r="E36" s="9">
        <v>20501</v>
      </c>
      <c r="F36" s="9">
        <v>1676</v>
      </c>
      <c r="G36" s="9">
        <v>6673</v>
      </c>
      <c r="H36" s="9">
        <v>107930</v>
      </c>
      <c r="I36" s="9">
        <f t="shared" si="0"/>
        <v>148665</v>
      </c>
      <c r="J36" s="5">
        <f t="shared" si="1"/>
        <v>14866.5</v>
      </c>
    </row>
    <row r="37" spans="1:10" ht="12.75">
      <c r="A37" s="1" t="s">
        <v>164</v>
      </c>
      <c r="C37" s="9">
        <v>13078</v>
      </c>
      <c r="D37" s="9">
        <v>5844</v>
      </c>
      <c r="E37" s="9">
        <v>22681</v>
      </c>
      <c r="F37" s="9">
        <v>1789</v>
      </c>
      <c r="G37" s="9">
        <v>9134</v>
      </c>
      <c r="H37" s="9">
        <v>107930</v>
      </c>
      <c r="I37" s="9">
        <f t="shared" si="0"/>
        <v>160456</v>
      </c>
      <c r="J37" s="5">
        <f t="shared" si="1"/>
        <v>16045.6</v>
      </c>
    </row>
    <row r="38" spans="1:10" ht="12.75">
      <c r="A38" s="1" t="s">
        <v>170</v>
      </c>
      <c r="C38" s="9">
        <v>9169</v>
      </c>
      <c r="D38" s="9">
        <v>11758</v>
      </c>
      <c r="E38" s="9">
        <v>27869</v>
      </c>
      <c r="F38" s="9">
        <v>4049</v>
      </c>
      <c r="G38" s="9">
        <v>9243</v>
      </c>
      <c r="H38" s="9">
        <v>96680</v>
      </c>
      <c r="I38" s="9">
        <f t="shared" si="0"/>
        <v>158768</v>
      </c>
      <c r="J38" s="5">
        <f t="shared" si="1"/>
        <v>15876.8</v>
      </c>
    </row>
    <row r="39" spans="1:10" ht="12.75">
      <c r="A39" s="1" t="s">
        <v>177</v>
      </c>
      <c r="C39" s="9">
        <v>15711</v>
      </c>
      <c r="D39" s="9">
        <v>15725</v>
      </c>
      <c r="E39" s="9">
        <v>33130</v>
      </c>
      <c r="F39" s="9">
        <v>4846</v>
      </c>
      <c r="G39" s="9">
        <v>9137</v>
      </c>
      <c r="H39" s="9">
        <v>77473</v>
      </c>
      <c r="I39" s="9">
        <f t="shared" si="0"/>
        <v>156022</v>
      </c>
      <c r="J39" s="5">
        <f t="shared" si="1"/>
        <v>15602.2</v>
      </c>
    </row>
    <row r="40" spans="1:10" ht="12.75">
      <c r="A40" s="1" t="s">
        <v>183</v>
      </c>
      <c r="C40" s="9">
        <v>23733</v>
      </c>
      <c r="D40" s="9">
        <v>11747</v>
      </c>
      <c r="E40" s="9">
        <v>34535</v>
      </c>
      <c r="F40" s="9">
        <v>914</v>
      </c>
      <c r="G40" s="9">
        <v>11560</v>
      </c>
      <c r="I40" s="9">
        <f t="shared" si="0"/>
        <v>82489</v>
      </c>
      <c r="J40" s="5">
        <f t="shared" si="1"/>
        <v>8248.9</v>
      </c>
    </row>
    <row r="43" spans="1:2" ht="12.75">
      <c r="A43" s="1" t="s">
        <v>528</v>
      </c>
      <c r="B43" s="9" t="s">
        <v>364</v>
      </c>
    </row>
    <row r="44" ht="12.75">
      <c r="B44" s="9" t="s">
        <v>326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D193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57421875" style="11" customWidth="1"/>
    <col min="2" max="2" width="10.00390625" style="9" customWidth="1"/>
    <col min="3" max="3" width="10.28125" style="9" customWidth="1"/>
    <col min="4" max="4" width="11.421875" style="5" customWidth="1"/>
    <col min="5" max="5" width="11.421875" style="4" customWidth="1"/>
  </cols>
  <sheetData>
    <row r="1" spans="1:2" ht="12.75">
      <c r="A1" s="11" t="s">
        <v>2</v>
      </c>
      <c r="B1" s="10" t="s">
        <v>486</v>
      </c>
    </row>
    <row r="2" ht="12.75">
      <c r="B2" s="10" t="s">
        <v>6</v>
      </c>
    </row>
    <row r="3" ht="12.75">
      <c r="B3" s="10" t="s">
        <v>521</v>
      </c>
    </row>
    <row r="5" spans="1:4" ht="12.75">
      <c r="A5" s="11" t="s">
        <v>575</v>
      </c>
      <c r="B5" s="10" t="s">
        <v>409</v>
      </c>
      <c r="C5" s="10" t="s">
        <v>479</v>
      </c>
      <c r="D5" s="4" t="s">
        <v>389</v>
      </c>
    </row>
    <row r="6" spans="2:3" ht="12.75">
      <c r="B6" s="10" t="s">
        <v>193</v>
      </c>
      <c r="C6" s="10"/>
    </row>
    <row r="8" spans="1:4" ht="12.75">
      <c r="A8" s="11">
        <v>1550</v>
      </c>
      <c r="B8" s="9">
        <v>379244</v>
      </c>
      <c r="C8" s="9">
        <f aca="true" t="shared" si="0" ref="C8:C39">B8*8.75</f>
        <v>3318385</v>
      </c>
      <c r="D8" s="5">
        <f aca="true" t="shared" si="1" ref="D8:D39">B8*0.2269</f>
        <v>86050.4636</v>
      </c>
    </row>
    <row r="9" spans="1:4" ht="12.75">
      <c r="A9" s="11">
        <v>1551</v>
      </c>
      <c r="B9" s="9">
        <v>327634</v>
      </c>
      <c r="C9" s="9">
        <f t="shared" si="0"/>
        <v>2866797.5</v>
      </c>
      <c r="D9" s="5">
        <f t="shared" si="1"/>
        <v>74340.1546</v>
      </c>
    </row>
    <row r="10" spans="1:4" ht="12.75">
      <c r="A10" s="11">
        <v>1552</v>
      </c>
      <c r="B10" s="9">
        <v>308658</v>
      </c>
      <c r="C10" s="9">
        <f t="shared" si="0"/>
        <v>2700757.5</v>
      </c>
      <c r="D10" s="5">
        <f t="shared" si="1"/>
        <v>70034.5002</v>
      </c>
    </row>
    <row r="11" spans="1:4" ht="12.75">
      <c r="A11" s="11">
        <v>1553</v>
      </c>
      <c r="B11" s="9">
        <v>319058</v>
      </c>
      <c r="C11" s="9">
        <f t="shared" si="0"/>
        <v>2791757.5</v>
      </c>
      <c r="D11" s="5">
        <f t="shared" si="1"/>
        <v>72394.2602</v>
      </c>
    </row>
    <row r="12" spans="1:4" ht="12.75">
      <c r="A12" s="11">
        <v>1554</v>
      </c>
      <c r="B12" s="9">
        <v>207776</v>
      </c>
      <c r="C12" s="9">
        <f t="shared" si="0"/>
        <v>1818040</v>
      </c>
      <c r="D12" s="5">
        <f t="shared" si="1"/>
        <v>47144.3744</v>
      </c>
    </row>
    <row r="13" spans="1:4" ht="12.75">
      <c r="A13" s="11">
        <v>1555</v>
      </c>
      <c r="B13" s="9">
        <v>265893</v>
      </c>
      <c r="C13" s="9">
        <f t="shared" si="0"/>
        <v>2326563.75</v>
      </c>
      <c r="D13" s="5">
        <f t="shared" si="1"/>
        <v>60331.121699999996</v>
      </c>
    </row>
    <row r="14" spans="1:4" ht="12.75">
      <c r="A14" s="11">
        <v>1556</v>
      </c>
      <c r="B14" s="9">
        <v>263177</v>
      </c>
      <c r="C14" s="9">
        <f t="shared" si="0"/>
        <v>2302798.75</v>
      </c>
      <c r="D14" s="5">
        <f t="shared" si="1"/>
        <v>59714.8613</v>
      </c>
    </row>
    <row r="15" spans="1:4" ht="12.75">
      <c r="A15" s="11">
        <v>1557</v>
      </c>
      <c r="B15" s="9">
        <v>273556</v>
      </c>
      <c r="C15" s="9">
        <f t="shared" si="0"/>
        <v>2393615</v>
      </c>
      <c r="D15" s="5">
        <f t="shared" si="1"/>
        <v>62069.8564</v>
      </c>
    </row>
    <row r="16" spans="1:4" ht="12.75">
      <c r="A16" s="11">
        <v>1558</v>
      </c>
      <c r="B16" s="9">
        <v>225978</v>
      </c>
      <c r="C16" s="9">
        <f t="shared" si="0"/>
        <v>1977307.5</v>
      </c>
      <c r="D16" s="5">
        <f t="shared" si="1"/>
        <v>51274.4082</v>
      </c>
    </row>
    <row r="17" spans="1:4" ht="12.75">
      <c r="A17" s="11">
        <v>1559</v>
      </c>
      <c r="B17" s="9">
        <v>209568</v>
      </c>
      <c r="C17" s="9">
        <f t="shared" si="0"/>
        <v>1833720</v>
      </c>
      <c r="D17" s="5">
        <f t="shared" si="1"/>
        <v>47550.9792</v>
      </c>
    </row>
    <row r="18" spans="1:4" ht="12.75">
      <c r="A18" s="11">
        <v>1560</v>
      </c>
      <c r="B18" s="9">
        <v>225071</v>
      </c>
      <c r="C18" s="9">
        <f t="shared" si="0"/>
        <v>1969371.25</v>
      </c>
      <c r="D18" s="5">
        <f t="shared" si="1"/>
        <v>51068.609899999996</v>
      </c>
    </row>
    <row r="19" spans="1:4" ht="12.75">
      <c r="A19" s="11">
        <v>1561</v>
      </c>
      <c r="B19" s="9">
        <v>219481</v>
      </c>
      <c r="C19" s="9">
        <f t="shared" si="0"/>
        <v>1920458.75</v>
      </c>
      <c r="D19" s="5">
        <f t="shared" si="1"/>
        <v>49800.2389</v>
      </c>
    </row>
    <row r="20" spans="1:4" ht="12.75">
      <c r="A20" s="11">
        <v>1562</v>
      </c>
      <c r="B20" s="9">
        <v>246940</v>
      </c>
      <c r="C20" s="9">
        <f t="shared" si="0"/>
        <v>2160725</v>
      </c>
      <c r="D20" s="5">
        <f t="shared" si="1"/>
        <v>56030.685999999994</v>
      </c>
    </row>
    <row r="21" spans="1:4" ht="12.75">
      <c r="A21" s="11">
        <v>1563</v>
      </c>
      <c r="B21" s="9">
        <v>256767</v>
      </c>
      <c r="C21" s="9">
        <f t="shared" si="0"/>
        <v>2246711.25</v>
      </c>
      <c r="D21" s="5">
        <f t="shared" si="1"/>
        <v>58260.4323</v>
      </c>
    </row>
    <row r="22" spans="1:4" ht="12.75">
      <c r="A22" s="11">
        <v>1564</v>
      </c>
      <c r="B22" s="9">
        <v>228164</v>
      </c>
      <c r="C22" s="9">
        <f t="shared" si="0"/>
        <v>1996435</v>
      </c>
      <c r="D22" s="5">
        <f t="shared" si="1"/>
        <v>51770.4116</v>
      </c>
    </row>
    <row r="23" spans="1:4" ht="12.75">
      <c r="A23" s="11">
        <v>1565</v>
      </c>
      <c r="B23" s="9">
        <v>284443</v>
      </c>
      <c r="C23" s="9">
        <f t="shared" si="0"/>
        <v>2488876.25</v>
      </c>
      <c r="D23" s="5">
        <f t="shared" si="1"/>
        <v>64540.1167</v>
      </c>
    </row>
    <row r="24" spans="1:4" ht="12.75">
      <c r="A24" s="11">
        <v>1566</v>
      </c>
      <c r="B24" s="9">
        <v>274420</v>
      </c>
      <c r="C24" s="9">
        <f t="shared" si="0"/>
        <v>2401175</v>
      </c>
      <c r="D24" s="5">
        <f t="shared" si="1"/>
        <v>62265.898</v>
      </c>
    </row>
    <row r="25" spans="1:4" ht="12.75">
      <c r="A25" s="11">
        <v>1567</v>
      </c>
      <c r="B25" s="9">
        <v>236355</v>
      </c>
      <c r="C25" s="9">
        <f t="shared" si="0"/>
        <v>2068106.25</v>
      </c>
      <c r="D25" s="5">
        <f t="shared" si="1"/>
        <v>53628.949499999995</v>
      </c>
    </row>
    <row r="26" spans="1:4" ht="12.75">
      <c r="A26" s="11">
        <v>1568</v>
      </c>
      <c r="B26" s="9">
        <v>225300</v>
      </c>
      <c r="C26" s="9">
        <f t="shared" si="0"/>
        <v>1971375</v>
      </c>
      <c r="D26" s="5">
        <f t="shared" si="1"/>
        <v>51120.57</v>
      </c>
    </row>
    <row r="27" spans="1:4" ht="12.75">
      <c r="A27" s="11">
        <v>1569</v>
      </c>
      <c r="B27" s="9">
        <v>216516</v>
      </c>
      <c r="C27" s="9">
        <f t="shared" si="0"/>
        <v>1894515</v>
      </c>
      <c r="D27" s="5">
        <f t="shared" si="1"/>
        <v>49127.4804</v>
      </c>
    </row>
    <row r="28" spans="1:4" ht="12.75">
      <c r="A28" s="11">
        <v>1570</v>
      </c>
      <c r="B28" s="9">
        <v>187071</v>
      </c>
      <c r="C28" s="9">
        <f t="shared" si="0"/>
        <v>1636871.25</v>
      </c>
      <c r="D28" s="5">
        <f t="shared" si="1"/>
        <v>42446.4099</v>
      </c>
    </row>
    <row r="29" spans="1:4" ht="12.75">
      <c r="A29" s="11">
        <v>1571</v>
      </c>
      <c r="B29" s="9">
        <v>134018</v>
      </c>
      <c r="C29" s="9">
        <f t="shared" si="0"/>
        <v>1172657.5</v>
      </c>
      <c r="D29" s="5">
        <f t="shared" si="1"/>
        <v>30408.6842</v>
      </c>
    </row>
    <row r="30" spans="1:4" ht="12.75">
      <c r="A30" s="11">
        <v>1572</v>
      </c>
      <c r="B30" s="9">
        <v>114878</v>
      </c>
      <c r="C30" s="9">
        <f t="shared" si="0"/>
        <v>1005182.5</v>
      </c>
      <c r="D30" s="5">
        <f t="shared" si="1"/>
        <v>26065.818199999998</v>
      </c>
    </row>
    <row r="31" spans="1:4" ht="12.75">
      <c r="A31" s="11">
        <v>1573</v>
      </c>
      <c r="B31" s="9">
        <v>140550</v>
      </c>
      <c r="C31" s="9">
        <f t="shared" si="0"/>
        <v>1229812.5</v>
      </c>
      <c r="D31" s="5">
        <f t="shared" si="1"/>
        <v>31890.795</v>
      </c>
    </row>
    <row r="32" spans="1:4" ht="12.75">
      <c r="A32" s="11">
        <v>1574</v>
      </c>
      <c r="B32" s="9">
        <v>179531</v>
      </c>
      <c r="C32" s="9">
        <f t="shared" si="0"/>
        <v>1570896.25</v>
      </c>
      <c r="D32" s="5">
        <f t="shared" si="1"/>
        <v>40735.5839</v>
      </c>
    </row>
    <row r="33" spans="1:4" ht="12.75">
      <c r="A33" s="11">
        <v>1575</v>
      </c>
      <c r="B33" s="9">
        <v>233998</v>
      </c>
      <c r="C33" s="9">
        <f t="shared" si="0"/>
        <v>2047482.5</v>
      </c>
      <c r="D33" s="5">
        <f t="shared" si="1"/>
        <v>53094.146199999996</v>
      </c>
    </row>
    <row r="34" spans="1:4" ht="12.75">
      <c r="A34" s="11">
        <v>1576</v>
      </c>
      <c r="B34" s="9">
        <v>305612</v>
      </c>
      <c r="C34" s="9">
        <f t="shared" si="0"/>
        <v>2674105</v>
      </c>
      <c r="D34" s="5">
        <f t="shared" si="1"/>
        <v>69343.3628</v>
      </c>
    </row>
    <row r="35" spans="1:4" ht="12.75">
      <c r="A35" s="11">
        <v>1577</v>
      </c>
      <c r="B35" s="9">
        <v>406121</v>
      </c>
      <c r="C35" s="9">
        <f t="shared" si="0"/>
        <v>3553558.75</v>
      </c>
      <c r="D35" s="5">
        <f t="shared" si="1"/>
        <v>92148.85489999999</v>
      </c>
    </row>
    <row r="36" spans="1:4" ht="12.75">
      <c r="A36" s="11">
        <v>1578</v>
      </c>
      <c r="B36" s="9">
        <v>465805</v>
      </c>
      <c r="C36" s="9">
        <f t="shared" si="0"/>
        <v>4075793.75</v>
      </c>
      <c r="D36" s="5">
        <f t="shared" si="1"/>
        <v>105691.15449999999</v>
      </c>
    </row>
    <row r="37" spans="1:4" ht="12.75">
      <c r="A37" s="11">
        <v>1579</v>
      </c>
      <c r="B37" s="9">
        <v>613344</v>
      </c>
      <c r="C37" s="9">
        <f t="shared" si="0"/>
        <v>5366760</v>
      </c>
      <c r="D37" s="5">
        <f t="shared" si="1"/>
        <v>139167.7536</v>
      </c>
    </row>
    <row r="38" spans="1:4" ht="12.75">
      <c r="A38" s="11">
        <v>1580</v>
      </c>
      <c r="B38" s="9">
        <v>668517</v>
      </c>
      <c r="C38" s="9">
        <f t="shared" si="0"/>
        <v>5849523.75</v>
      </c>
      <c r="D38" s="5">
        <f t="shared" si="1"/>
        <v>151686.5073</v>
      </c>
    </row>
    <row r="39" spans="1:4" ht="12.75">
      <c r="A39" s="11">
        <v>1581</v>
      </c>
      <c r="B39" s="9">
        <v>716745</v>
      </c>
      <c r="C39" s="9">
        <f t="shared" si="0"/>
        <v>6271518.75</v>
      </c>
      <c r="D39" s="5">
        <f t="shared" si="1"/>
        <v>162629.4405</v>
      </c>
    </row>
    <row r="40" spans="1:4" ht="12.75">
      <c r="A40" s="11">
        <v>1582</v>
      </c>
      <c r="B40" s="9">
        <v>766239</v>
      </c>
      <c r="C40" s="9">
        <f aca="true" t="shared" si="2" ref="C40:C71">B40*8.75</f>
        <v>6704591.25</v>
      </c>
      <c r="D40" s="5">
        <f aca="true" t="shared" si="3" ref="D40:D71">B40*0.2269</f>
        <v>173859.6291</v>
      </c>
    </row>
    <row r="41" spans="1:4" ht="12.75">
      <c r="A41" s="11">
        <v>1583</v>
      </c>
      <c r="B41" s="9">
        <v>686561</v>
      </c>
      <c r="C41" s="9">
        <f t="shared" si="2"/>
        <v>6007408.75</v>
      </c>
      <c r="D41" s="5">
        <f t="shared" si="3"/>
        <v>155780.6909</v>
      </c>
    </row>
    <row r="42" spans="1:4" ht="12.75">
      <c r="A42" s="11">
        <v>1584</v>
      </c>
      <c r="B42" s="9">
        <v>683290</v>
      </c>
      <c r="C42" s="9">
        <f t="shared" si="2"/>
        <v>5978787.5</v>
      </c>
      <c r="D42" s="5">
        <f t="shared" si="3"/>
        <v>155038.501</v>
      </c>
    </row>
    <row r="43" spans="1:4" ht="12.75">
      <c r="A43" s="11">
        <v>1585</v>
      </c>
      <c r="B43" s="9">
        <v>858017</v>
      </c>
      <c r="C43" s="9">
        <f t="shared" si="2"/>
        <v>7507648.75</v>
      </c>
      <c r="D43" s="5">
        <f t="shared" si="3"/>
        <v>194684.0573</v>
      </c>
    </row>
    <row r="44" spans="1:4" ht="12.75">
      <c r="A44" s="11">
        <v>1586</v>
      </c>
      <c r="B44" s="9">
        <v>785550</v>
      </c>
      <c r="C44" s="9">
        <f t="shared" si="2"/>
        <v>6873562.5</v>
      </c>
      <c r="D44" s="5">
        <f t="shared" si="3"/>
        <v>178241.29499999998</v>
      </c>
    </row>
    <row r="45" spans="1:4" ht="12.75">
      <c r="A45" s="11">
        <v>1587</v>
      </c>
      <c r="B45" s="9">
        <v>676310</v>
      </c>
      <c r="C45" s="9">
        <f t="shared" si="2"/>
        <v>5917712.5</v>
      </c>
      <c r="D45" s="5">
        <f t="shared" si="3"/>
        <v>153454.739</v>
      </c>
    </row>
    <row r="46" spans="1:4" ht="12.75">
      <c r="A46" s="11">
        <v>1588</v>
      </c>
      <c r="B46" s="9">
        <v>794314</v>
      </c>
      <c r="C46" s="9">
        <f t="shared" si="2"/>
        <v>6950247.5</v>
      </c>
      <c r="D46" s="5">
        <f t="shared" si="3"/>
        <v>180229.8466</v>
      </c>
    </row>
    <row r="47" spans="1:4" ht="12.75">
      <c r="A47" s="11">
        <v>1589</v>
      </c>
      <c r="B47" s="9">
        <v>865185</v>
      </c>
      <c r="C47" s="9">
        <f t="shared" si="2"/>
        <v>7570368.75</v>
      </c>
      <c r="D47" s="5">
        <f t="shared" si="3"/>
        <v>196310.4765</v>
      </c>
    </row>
    <row r="48" spans="1:4" ht="12.75">
      <c r="A48" s="11">
        <v>1590</v>
      </c>
      <c r="B48" s="9">
        <v>775501</v>
      </c>
      <c r="C48" s="9">
        <f t="shared" si="2"/>
        <v>6785633.75</v>
      </c>
      <c r="D48" s="5">
        <f t="shared" si="3"/>
        <v>175961.1769</v>
      </c>
    </row>
    <row r="49" spans="1:4" ht="12.75">
      <c r="A49" s="11">
        <v>1591</v>
      </c>
      <c r="B49" s="9">
        <v>861717</v>
      </c>
      <c r="C49" s="9">
        <f t="shared" si="2"/>
        <v>7540023.75</v>
      </c>
      <c r="D49" s="5">
        <f t="shared" si="3"/>
        <v>195523.58729999998</v>
      </c>
    </row>
    <row r="50" spans="1:4" ht="12.75">
      <c r="A50" s="11">
        <v>1592</v>
      </c>
      <c r="B50" s="9">
        <v>887448</v>
      </c>
      <c r="C50" s="9">
        <f t="shared" si="2"/>
        <v>7765170</v>
      </c>
      <c r="D50" s="5">
        <f t="shared" si="3"/>
        <v>201361.95119999998</v>
      </c>
    </row>
    <row r="51" spans="1:4" ht="12.75">
      <c r="A51" s="11">
        <v>1593</v>
      </c>
      <c r="B51" s="9">
        <v>876686</v>
      </c>
      <c r="C51" s="9">
        <f t="shared" si="2"/>
        <v>7671002.5</v>
      </c>
      <c r="D51" s="5">
        <f t="shared" si="3"/>
        <v>198920.0534</v>
      </c>
    </row>
    <row r="52" spans="1:4" ht="12.75">
      <c r="A52" s="11">
        <v>1594</v>
      </c>
      <c r="B52" s="9">
        <v>773131</v>
      </c>
      <c r="C52" s="9">
        <f t="shared" si="2"/>
        <v>6764896.25</v>
      </c>
      <c r="D52" s="5">
        <f t="shared" si="3"/>
        <v>175423.4239</v>
      </c>
    </row>
    <row r="53" spans="1:4" ht="12.75">
      <c r="A53" s="11">
        <v>1595</v>
      </c>
      <c r="B53" s="9">
        <v>841972</v>
      </c>
      <c r="C53" s="9">
        <f t="shared" si="2"/>
        <v>7367255</v>
      </c>
      <c r="D53" s="5">
        <f t="shared" si="3"/>
        <v>191043.4468</v>
      </c>
    </row>
    <row r="54" spans="1:4" ht="12.75">
      <c r="A54" s="11">
        <v>1596</v>
      </c>
      <c r="B54" s="9">
        <v>809691</v>
      </c>
      <c r="C54" s="9">
        <f t="shared" si="2"/>
        <v>7084796.25</v>
      </c>
      <c r="D54" s="5">
        <f t="shared" si="3"/>
        <v>183718.8879</v>
      </c>
    </row>
    <row r="55" spans="1:4" ht="12.75">
      <c r="A55" s="11">
        <v>1597</v>
      </c>
      <c r="B55" s="9">
        <v>747798</v>
      </c>
      <c r="C55" s="9">
        <f t="shared" si="2"/>
        <v>6543232.5</v>
      </c>
      <c r="D55" s="5">
        <f t="shared" si="3"/>
        <v>169675.3662</v>
      </c>
    </row>
    <row r="56" spans="1:4" ht="12.75">
      <c r="A56" s="11">
        <v>1598</v>
      </c>
      <c r="B56" s="9">
        <v>723591</v>
      </c>
      <c r="C56" s="9">
        <f t="shared" si="2"/>
        <v>6331421.25</v>
      </c>
      <c r="D56" s="5">
        <f t="shared" si="3"/>
        <v>164182.7979</v>
      </c>
    </row>
    <row r="57" spans="1:4" ht="12.75">
      <c r="A57" s="11">
        <v>1599</v>
      </c>
      <c r="B57" s="9">
        <v>735184</v>
      </c>
      <c r="C57" s="9">
        <f t="shared" si="2"/>
        <v>6432860</v>
      </c>
      <c r="D57" s="5">
        <f t="shared" si="3"/>
        <v>166813.24959999998</v>
      </c>
    </row>
    <row r="58" spans="1:4" ht="12.75">
      <c r="A58" s="11">
        <v>1600</v>
      </c>
      <c r="B58" s="9">
        <v>722650</v>
      </c>
      <c r="C58" s="9">
        <f t="shared" si="2"/>
        <v>6323187.5</v>
      </c>
      <c r="D58" s="5">
        <f t="shared" si="3"/>
        <v>163969.285</v>
      </c>
    </row>
    <row r="59" spans="1:4" ht="12.75">
      <c r="A59" s="11">
        <v>1601</v>
      </c>
      <c r="B59" s="9">
        <v>814825</v>
      </c>
      <c r="C59" s="9">
        <f t="shared" si="2"/>
        <v>7129718.75</v>
      </c>
      <c r="D59" s="5">
        <f t="shared" si="3"/>
        <v>184883.79249999998</v>
      </c>
    </row>
    <row r="60" spans="1:4" ht="12.75">
      <c r="A60" s="11">
        <v>1602</v>
      </c>
      <c r="B60" s="9">
        <v>843333</v>
      </c>
      <c r="C60" s="9">
        <f t="shared" si="2"/>
        <v>7379163.75</v>
      </c>
      <c r="D60" s="5">
        <f t="shared" si="3"/>
        <v>191352.2577</v>
      </c>
    </row>
    <row r="61" spans="1:4" ht="12.75">
      <c r="A61" s="11">
        <v>1603</v>
      </c>
      <c r="B61" s="9">
        <v>810560</v>
      </c>
      <c r="C61" s="9">
        <f t="shared" si="2"/>
        <v>7092400</v>
      </c>
      <c r="D61" s="5">
        <f t="shared" si="3"/>
        <v>183916.06399999998</v>
      </c>
    </row>
    <row r="62" spans="1:4" ht="12.75">
      <c r="A62" s="11">
        <v>1604</v>
      </c>
      <c r="B62" s="9">
        <v>730100</v>
      </c>
      <c r="C62" s="9">
        <f t="shared" si="2"/>
        <v>6388375</v>
      </c>
      <c r="D62" s="5">
        <f t="shared" si="3"/>
        <v>165659.69</v>
      </c>
    </row>
    <row r="63" spans="1:4" ht="12.75">
      <c r="A63" s="11">
        <v>1605</v>
      </c>
      <c r="B63" s="9">
        <v>844153</v>
      </c>
      <c r="C63" s="9">
        <f t="shared" si="2"/>
        <v>7386338.75</v>
      </c>
      <c r="D63" s="5">
        <f t="shared" si="3"/>
        <v>191538.3157</v>
      </c>
    </row>
    <row r="64" spans="1:4" ht="12.75">
      <c r="A64" s="11">
        <v>1606</v>
      </c>
      <c r="B64" s="9">
        <v>791381</v>
      </c>
      <c r="C64" s="9">
        <f t="shared" si="2"/>
        <v>6924583.75</v>
      </c>
      <c r="D64" s="5">
        <f t="shared" si="3"/>
        <v>179564.34889999998</v>
      </c>
    </row>
    <row r="65" spans="1:4" ht="12.75">
      <c r="A65" s="11">
        <v>1607</v>
      </c>
      <c r="B65" s="9">
        <v>780174</v>
      </c>
      <c r="C65" s="9">
        <f t="shared" si="2"/>
        <v>6826522.5</v>
      </c>
      <c r="D65" s="5">
        <f t="shared" si="3"/>
        <v>177021.48059999998</v>
      </c>
    </row>
    <row r="66" spans="1:4" ht="12.75">
      <c r="A66" s="11">
        <v>1608</v>
      </c>
      <c r="B66" s="9">
        <v>662070</v>
      </c>
      <c r="C66" s="9">
        <f t="shared" si="2"/>
        <v>5793112.5</v>
      </c>
      <c r="D66" s="5">
        <f t="shared" si="3"/>
        <v>150223.683</v>
      </c>
    </row>
    <row r="67" spans="1:4" ht="12.75">
      <c r="A67" s="11">
        <v>1609</v>
      </c>
      <c r="B67" s="9">
        <v>624666</v>
      </c>
      <c r="C67" s="9">
        <f t="shared" si="2"/>
        <v>5465827.5</v>
      </c>
      <c r="D67" s="5">
        <f t="shared" si="3"/>
        <v>141736.7154</v>
      </c>
    </row>
    <row r="68" spans="1:4" ht="12.75">
      <c r="A68" s="11">
        <v>1610</v>
      </c>
      <c r="B68" s="9">
        <v>629445</v>
      </c>
      <c r="C68" s="9">
        <f t="shared" si="2"/>
        <v>5507643.75</v>
      </c>
      <c r="D68" s="5">
        <f t="shared" si="3"/>
        <v>142821.0705</v>
      </c>
    </row>
    <row r="69" spans="1:4" ht="12.75">
      <c r="A69" s="11">
        <v>1611</v>
      </c>
      <c r="B69" s="9">
        <v>698806</v>
      </c>
      <c r="C69" s="9">
        <f t="shared" si="2"/>
        <v>6114552.5</v>
      </c>
      <c r="D69" s="5">
        <f t="shared" si="3"/>
        <v>158559.0814</v>
      </c>
    </row>
    <row r="70" spans="1:4" ht="12.75">
      <c r="A70" s="11">
        <v>1612</v>
      </c>
      <c r="B70" s="9">
        <v>741918</v>
      </c>
      <c r="C70" s="9">
        <f t="shared" si="2"/>
        <v>6491782.5</v>
      </c>
      <c r="D70" s="5">
        <f t="shared" si="3"/>
        <v>168341.1942</v>
      </c>
    </row>
    <row r="71" spans="1:4" ht="12.75">
      <c r="A71" s="11">
        <v>1613</v>
      </c>
      <c r="B71" s="9">
        <v>662313</v>
      </c>
      <c r="C71" s="9">
        <f t="shared" si="2"/>
        <v>5795238.75</v>
      </c>
      <c r="D71" s="5">
        <f t="shared" si="3"/>
        <v>150278.8197</v>
      </c>
    </row>
    <row r="72" spans="1:4" ht="12.75">
      <c r="A72" s="11">
        <v>1614</v>
      </c>
      <c r="B72" s="9">
        <v>700229</v>
      </c>
      <c r="C72" s="9">
        <f aca="true" t="shared" si="4" ref="C72:C103">B72*8.75</f>
        <v>6127003.75</v>
      </c>
      <c r="D72" s="5">
        <f aca="true" t="shared" si="5" ref="D72:D103">B72*0.2269</f>
        <v>158881.9601</v>
      </c>
    </row>
    <row r="73" spans="1:4" ht="12.75">
      <c r="A73" s="11">
        <v>1615</v>
      </c>
      <c r="B73" s="9">
        <v>746947</v>
      </c>
      <c r="C73" s="9">
        <f t="shared" si="4"/>
        <v>6535786.25</v>
      </c>
      <c r="D73" s="5">
        <f t="shared" si="5"/>
        <v>169482.2743</v>
      </c>
    </row>
    <row r="74" spans="1:4" ht="12.75">
      <c r="A74" s="11">
        <v>1616</v>
      </c>
      <c r="B74" s="9">
        <v>693163</v>
      </c>
      <c r="C74" s="9">
        <f t="shared" si="4"/>
        <v>6065176.25</v>
      </c>
      <c r="D74" s="5">
        <f t="shared" si="5"/>
        <v>157278.68469999998</v>
      </c>
    </row>
    <row r="75" spans="1:4" ht="12.75">
      <c r="A75" s="11">
        <v>1617</v>
      </c>
      <c r="B75" s="9">
        <v>591162</v>
      </c>
      <c r="C75" s="9">
        <f t="shared" si="4"/>
        <v>5172667.5</v>
      </c>
      <c r="D75" s="5">
        <f t="shared" si="5"/>
        <v>134134.6578</v>
      </c>
    </row>
    <row r="76" spans="1:4" ht="12.75">
      <c r="A76" s="11">
        <v>1618</v>
      </c>
      <c r="B76" s="9">
        <v>576359</v>
      </c>
      <c r="C76" s="9">
        <f t="shared" si="4"/>
        <v>5043141.25</v>
      </c>
      <c r="D76" s="5">
        <f t="shared" si="5"/>
        <v>130775.8571</v>
      </c>
    </row>
    <row r="77" spans="1:4" ht="12.75">
      <c r="A77" s="11">
        <v>1619</v>
      </c>
      <c r="B77" s="9">
        <v>620477</v>
      </c>
      <c r="C77" s="9">
        <f t="shared" si="4"/>
        <v>5429173.75</v>
      </c>
      <c r="D77" s="5">
        <f t="shared" si="5"/>
        <v>140786.23129999998</v>
      </c>
    </row>
    <row r="78" spans="1:4" ht="12.75">
      <c r="A78" s="11">
        <v>1620</v>
      </c>
      <c r="B78" s="9">
        <v>590760</v>
      </c>
      <c r="C78" s="9">
        <f t="shared" si="4"/>
        <v>5169150</v>
      </c>
      <c r="D78" s="5">
        <f t="shared" si="5"/>
        <v>134043.444</v>
      </c>
    </row>
    <row r="79" spans="1:4" ht="12.75">
      <c r="A79" s="11">
        <v>1621</v>
      </c>
      <c r="B79" s="9">
        <v>605410</v>
      </c>
      <c r="C79" s="9">
        <f t="shared" si="4"/>
        <v>5297337.5</v>
      </c>
      <c r="D79" s="5">
        <f t="shared" si="5"/>
        <v>137367.52899999998</v>
      </c>
    </row>
    <row r="80" spans="1:4" ht="12.75">
      <c r="A80" s="11">
        <v>1622</v>
      </c>
      <c r="B80" s="9">
        <v>602892</v>
      </c>
      <c r="C80" s="9">
        <f t="shared" si="4"/>
        <v>5275305</v>
      </c>
      <c r="D80" s="5">
        <f t="shared" si="5"/>
        <v>136796.1948</v>
      </c>
    </row>
    <row r="81" spans="1:4" ht="12.75">
      <c r="A81" s="11">
        <v>1623</v>
      </c>
      <c r="B81" s="9">
        <v>597293</v>
      </c>
      <c r="C81" s="9">
        <f t="shared" si="4"/>
        <v>5226313.75</v>
      </c>
      <c r="D81" s="5">
        <f t="shared" si="5"/>
        <v>135525.7817</v>
      </c>
    </row>
    <row r="82" spans="1:4" ht="12.75">
      <c r="A82" s="11">
        <v>1624</v>
      </c>
      <c r="B82" s="9">
        <v>599607</v>
      </c>
      <c r="C82" s="9">
        <f t="shared" si="4"/>
        <v>5246561.25</v>
      </c>
      <c r="D82" s="5">
        <f t="shared" si="5"/>
        <v>136050.8283</v>
      </c>
    </row>
    <row r="83" spans="1:4" ht="12.75">
      <c r="A83" s="11">
        <v>1625</v>
      </c>
      <c r="B83" s="9">
        <v>565166</v>
      </c>
      <c r="C83" s="9">
        <f t="shared" si="4"/>
        <v>4945202.5</v>
      </c>
      <c r="D83" s="5">
        <f t="shared" si="5"/>
        <v>128236.1654</v>
      </c>
    </row>
    <row r="84" spans="1:4" ht="12.75">
      <c r="A84" s="11">
        <v>1626</v>
      </c>
      <c r="B84" s="9">
        <v>570171</v>
      </c>
      <c r="C84" s="9">
        <f t="shared" si="4"/>
        <v>4988996.25</v>
      </c>
      <c r="D84" s="5">
        <f t="shared" si="5"/>
        <v>129371.7999</v>
      </c>
    </row>
    <row r="85" spans="1:4" ht="12.75">
      <c r="A85" s="11">
        <v>1627</v>
      </c>
      <c r="B85" s="9">
        <v>594682</v>
      </c>
      <c r="C85" s="9">
        <f t="shared" si="4"/>
        <v>5203467.5</v>
      </c>
      <c r="D85" s="5">
        <f t="shared" si="5"/>
        <v>134933.34579999998</v>
      </c>
    </row>
    <row r="86" spans="1:4" ht="12.75">
      <c r="A86" s="11">
        <v>1628</v>
      </c>
      <c r="B86" s="9">
        <v>646543</v>
      </c>
      <c r="C86" s="9">
        <f t="shared" si="4"/>
        <v>5657251.25</v>
      </c>
      <c r="D86" s="5">
        <f t="shared" si="5"/>
        <v>146700.6067</v>
      </c>
    </row>
    <row r="87" spans="1:4" ht="12.75">
      <c r="A87" s="11">
        <v>1629</v>
      </c>
      <c r="B87" s="9">
        <v>536473</v>
      </c>
      <c r="C87" s="9">
        <f t="shared" si="4"/>
        <v>4694138.75</v>
      </c>
      <c r="D87" s="5">
        <f t="shared" si="5"/>
        <v>121725.72369999999</v>
      </c>
    </row>
    <row r="88" spans="1:4" ht="12.75">
      <c r="A88" s="11">
        <v>1630</v>
      </c>
      <c r="B88" s="9">
        <v>530674</v>
      </c>
      <c r="C88" s="9">
        <f t="shared" si="4"/>
        <v>4643397.5</v>
      </c>
      <c r="D88" s="5">
        <f t="shared" si="5"/>
        <v>120409.93059999999</v>
      </c>
    </row>
    <row r="89" spans="1:4" ht="12.75">
      <c r="A89" s="11">
        <v>1631</v>
      </c>
      <c r="B89" s="9">
        <v>588443</v>
      </c>
      <c r="C89" s="9">
        <f t="shared" si="4"/>
        <v>5148876.25</v>
      </c>
      <c r="D89" s="5">
        <f t="shared" si="5"/>
        <v>133517.7167</v>
      </c>
    </row>
    <row r="90" spans="1:4" ht="12.75">
      <c r="A90" s="11">
        <v>1632</v>
      </c>
      <c r="B90" s="9">
        <v>531843</v>
      </c>
      <c r="C90" s="9">
        <f t="shared" si="4"/>
        <v>4653626.25</v>
      </c>
      <c r="D90" s="5">
        <f t="shared" si="5"/>
        <v>120675.1767</v>
      </c>
    </row>
    <row r="91" spans="1:4" ht="12.75">
      <c r="A91" s="11">
        <v>1633</v>
      </c>
      <c r="B91" s="9">
        <v>553670</v>
      </c>
      <c r="C91" s="9">
        <f t="shared" si="4"/>
        <v>4844612.5</v>
      </c>
      <c r="D91" s="5">
        <f t="shared" si="5"/>
        <v>125627.723</v>
      </c>
    </row>
    <row r="92" spans="1:4" ht="12.75">
      <c r="A92" s="11">
        <v>1634</v>
      </c>
      <c r="B92" s="9">
        <v>542919</v>
      </c>
      <c r="C92" s="9">
        <f t="shared" si="4"/>
        <v>4750541.25</v>
      </c>
      <c r="D92" s="5">
        <f t="shared" si="5"/>
        <v>123188.3211</v>
      </c>
    </row>
    <row r="93" spans="1:4" ht="12.75">
      <c r="A93" s="11">
        <v>1635</v>
      </c>
      <c r="B93" s="9">
        <v>521507</v>
      </c>
      <c r="C93" s="9">
        <f t="shared" si="4"/>
        <v>4563186.25</v>
      </c>
      <c r="D93" s="5">
        <f t="shared" si="5"/>
        <v>118329.9383</v>
      </c>
    </row>
    <row r="94" spans="1:4" ht="12.75">
      <c r="A94" s="11">
        <v>1636</v>
      </c>
      <c r="B94" s="9">
        <v>793596</v>
      </c>
      <c r="C94" s="9">
        <f t="shared" si="4"/>
        <v>6943965</v>
      </c>
      <c r="D94" s="5">
        <f t="shared" si="5"/>
        <v>180066.9324</v>
      </c>
    </row>
    <row r="95" spans="1:4" ht="12.75">
      <c r="A95" s="11">
        <v>1637</v>
      </c>
      <c r="B95" s="9">
        <v>656372</v>
      </c>
      <c r="C95" s="9">
        <f t="shared" si="4"/>
        <v>5743255</v>
      </c>
      <c r="D95" s="5">
        <f t="shared" si="5"/>
        <v>148930.8068</v>
      </c>
    </row>
    <row r="96" spans="1:4" ht="12.75">
      <c r="A96" s="11">
        <v>1638</v>
      </c>
      <c r="B96" s="9">
        <v>647669</v>
      </c>
      <c r="C96" s="9">
        <f t="shared" si="4"/>
        <v>5667103.75</v>
      </c>
      <c r="D96" s="5">
        <f t="shared" si="5"/>
        <v>146956.0961</v>
      </c>
    </row>
    <row r="97" spans="1:4" ht="12.75">
      <c r="A97" s="11">
        <v>1639</v>
      </c>
      <c r="B97" s="9">
        <v>616173</v>
      </c>
      <c r="C97" s="9">
        <f t="shared" si="4"/>
        <v>5391513.75</v>
      </c>
      <c r="D97" s="5">
        <f t="shared" si="5"/>
        <v>139809.6537</v>
      </c>
    </row>
    <row r="98" spans="1:4" ht="12.75">
      <c r="A98" s="11">
        <v>1640</v>
      </c>
      <c r="B98" s="9">
        <v>539767</v>
      </c>
      <c r="C98" s="9">
        <f t="shared" si="4"/>
        <v>4722961.25</v>
      </c>
      <c r="D98" s="5">
        <f t="shared" si="5"/>
        <v>122473.1323</v>
      </c>
    </row>
    <row r="99" spans="1:4" ht="12.75">
      <c r="A99" s="11">
        <v>1641</v>
      </c>
      <c r="B99" s="9">
        <v>518606</v>
      </c>
      <c r="C99" s="9">
        <f t="shared" si="4"/>
        <v>4537802.5</v>
      </c>
      <c r="D99" s="5">
        <f t="shared" si="5"/>
        <v>117671.70139999999</v>
      </c>
    </row>
    <row r="100" spans="1:4" ht="12.75">
      <c r="A100" s="11">
        <v>1642</v>
      </c>
      <c r="B100" s="9">
        <v>499688</v>
      </c>
      <c r="C100" s="9">
        <f t="shared" si="4"/>
        <v>4372270</v>
      </c>
      <c r="D100" s="5">
        <f t="shared" si="5"/>
        <v>113379.20719999999</v>
      </c>
    </row>
    <row r="101" spans="1:4" ht="12.75">
      <c r="A101" s="11">
        <v>1643</v>
      </c>
      <c r="B101" s="9">
        <v>510007</v>
      </c>
      <c r="C101" s="9">
        <f t="shared" si="4"/>
        <v>4462561.25</v>
      </c>
      <c r="D101" s="5">
        <f t="shared" si="5"/>
        <v>115720.58829999999</v>
      </c>
    </row>
    <row r="102" spans="1:4" ht="12.75">
      <c r="A102" s="11">
        <v>1644</v>
      </c>
      <c r="B102" s="9">
        <v>475134</v>
      </c>
      <c r="C102" s="9">
        <f t="shared" si="4"/>
        <v>4157422.5</v>
      </c>
      <c r="D102" s="5">
        <f t="shared" si="5"/>
        <v>107807.9046</v>
      </c>
    </row>
    <row r="103" spans="1:4" ht="12.75">
      <c r="A103" s="11">
        <v>1645</v>
      </c>
      <c r="B103" s="9">
        <v>500892</v>
      </c>
      <c r="C103" s="9">
        <f t="shared" si="4"/>
        <v>4382805</v>
      </c>
      <c r="D103" s="5">
        <f t="shared" si="5"/>
        <v>113652.3948</v>
      </c>
    </row>
    <row r="104" spans="1:4" ht="12.75">
      <c r="A104" s="11">
        <v>1646</v>
      </c>
      <c r="B104" s="9">
        <v>463799</v>
      </c>
      <c r="C104" s="9">
        <f aca="true" t="shared" si="6" ref="C104:C135">B104*8.75</f>
        <v>4058241.25</v>
      </c>
      <c r="D104" s="5">
        <f aca="true" t="shared" si="7" ref="D104:D135">B104*0.2269</f>
        <v>105235.99309999999</v>
      </c>
    </row>
    <row r="105" spans="1:4" ht="12.75">
      <c r="A105" s="11">
        <v>1647</v>
      </c>
      <c r="B105" s="9">
        <v>491448</v>
      </c>
      <c r="C105" s="9">
        <f t="shared" si="6"/>
        <v>4300170</v>
      </c>
      <c r="D105" s="5">
        <f t="shared" si="7"/>
        <v>111509.5512</v>
      </c>
    </row>
    <row r="106" spans="1:4" ht="12.75">
      <c r="A106" s="11">
        <v>1648</v>
      </c>
      <c r="B106" s="9">
        <v>619543</v>
      </c>
      <c r="C106" s="9">
        <f t="shared" si="6"/>
        <v>5421001.25</v>
      </c>
      <c r="D106" s="5">
        <f t="shared" si="7"/>
        <v>140574.3067</v>
      </c>
    </row>
    <row r="107" spans="1:4" ht="12.75">
      <c r="A107" s="11">
        <v>1649</v>
      </c>
      <c r="B107" s="9">
        <v>589702</v>
      </c>
      <c r="C107" s="9">
        <f t="shared" si="6"/>
        <v>5159892.5</v>
      </c>
      <c r="D107" s="5">
        <f t="shared" si="7"/>
        <v>133803.38379999998</v>
      </c>
    </row>
    <row r="108" spans="1:4" ht="12.75">
      <c r="A108" s="11">
        <v>1650</v>
      </c>
      <c r="B108" s="9">
        <v>506125</v>
      </c>
      <c r="C108" s="9">
        <f t="shared" si="6"/>
        <v>4428593.75</v>
      </c>
      <c r="D108" s="5">
        <f t="shared" si="7"/>
        <v>114839.7625</v>
      </c>
    </row>
    <row r="109" spans="1:4" ht="12.75">
      <c r="A109" s="11">
        <v>1651</v>
      </c>
      <c r="B109" s="9">
        <v>424745</v>
      </c>
      <c r="C109" s="9">
        <f t="shared" si="6"/>
        <v>3716518.75</v>
      </c>
      <c r="D109" s="5">
        <f t="shared" si="7"/>
        <v>96374.6405</v>
      </c>
    </row>
    <row r="110" spans="1:4" ht="12.75">
      <c r="A110" s="11">
        <v>1652</v>
      </c>
      <c r="B110" s="9">
        <v>441937</v>
      </c>
      <c r="C110" s="9">
        <f t="shared" si="6"/>
        <v>3866948.75</v>
      </c>
      <c r="D110" s="5">
        <f t="shared" si="7"/>
        <v>100275.50529999999</v>
      </c>
    </row>
    <row r="111" spans="1:4" ht="12.75">
      <c r="A111" s="11">
        <v>1653</v>
      </c>
      <c r="B111" s="9">
        <v>428486</v>
      </c>
      <c r="C111" s="9">
        <f t="shared" si="6"/>
        <v>3749252.5</v>
      </c>
      <c r="D111" s="5">
        <f t="shared" si="7"/>
        <v>97223.4734</v>
      </c>
    </row>
    <row r="112" spans="1:4" ht="12.75">
      <c r="A112" s="11">
        <v>1654</v>
      </c>
      <c r="B112" s="9">
        <v>469416</v>
      </c>
      <c r="C112" s="9">
        <f t="shared" si="6"/>
        <v>4107390</v>
      </c>
      <c r="D112" s="5">
        <f t="shared" si="7"/>
        <v>106510.4904</v>
      </c>
    </row>
    <row r="113" spans="1:4" ht="12.75">
      <c r="A113" s="11">
        <v>1655</v>
      </c>
      <c r="B113" s="9">
        <v>425172</v>
      </c>
      <c r="C113" s="9">
        <f t="shared" si="6"/>
        <v>3720255</v>
      </c>
      <c r="D113" s="5">
        <f t="shared" si="7"/>
        <v>96471.52679999999</v>
      </c>
    </row>
    <row r="114" spans="1:4" ht="12.75">
      <c r="A114" s="11">
        <v>1656</v>
      </c>
      <c r="B114" s="9">
        <v>451966</v>
      </c>
      <c r="C114" s="9">
        <f t="shared" si="6"/>
        <v>3954702.5</v>
      </c>
      <c r="D114" s="5">
        <f t="shared" si="7"/>
        <v>102551.0854</v>
      </c>
    </row>
    <row r="115" spans="1:4" ht="12.75">
      <c r="A115" s="11">
        <v>1657</v>
      </c>
      <c r="B115" s="9">
        <v>523604</v>
      </c>
      <c r="C115" s="9">
        <f t="shared" si="6"/>
        <v>4581535</v>
      </c>
      <c r="D115" s="5">
        <f t="shared" si="7"/>
        <v>118805.74759999999</v>
      </c>
    </row>
    <row r="116" spans="1:4" ht="12.75">
      <c r="A116" s="11">
        <v>1658</v>
      </c>
      <c r="B116" s="9">
        <v>493460</v>
      </c>
      <c r="C116" s="9">
        <f t="shared" si="6"/>
        <v>4317775</v>
      </c>
      <c r="D116" s="5">
        <f t="shared" si="7"/>
        <v>111966.074</v>
      </c>
    </row>
    <row r="117" spans="1:4" ht="12.75">
      <c r="A117" s="11">
        <v>1659</v>
      </c>
      <c r="B117" s="9">
        <v>449459</v>
      </c>
      <c r="C117" s="9">
        <f t="shared" si="6"/>
        <v>3932766.25</v>
      </c>
      <c r="D117" s="5">
        <f t="shared" si="7"/>
        <v>101982.2471</v>
      </c>
    </row>
    <row r="118" spans="1:4" ht="12.75">
      <c r="A118" s="11">
        <v>1660</v>
      </c>
      <c r="B118" s="9">
        <v>366897</v>
      </c>
      <c r="C118" s="9">
        <f t="shared" si="6"/>
        <v>3210348.75</v>
      </c>
      <c r="D118" s="5">
        <f t="shared" si="7"/>
        <v>83248.9293</v>
      </c>
    </row>
    <row r="119" spans="1:4" ht="12.75">
      <c r="A119" s="11">
        <v>1661</v>
      </c>
      <c r="B119" s="9">
        <v>350328</v>
      </c>
      <c r="C119" s="9">
        <f t="shared" si="6"/>
        <v>3065370</v>
      </c>
      <c r="D119" s="5">
        <f t="shared" si="7"/>
        <v>79489.42319999999</v>
      </c>
    </row>
    <row r="120" spans="1:4" ht="12.75">
      <c r="A120" s="11">
        <v>1662</v>
      </c>
      <c r="B120" s="9">
        <v>358713</v>
      </c>
      <c r="C120" s="9">
        <f t="shared" si="6"/>
        <v>3138738.75</v>
      </c>
      <c r="D120" s="5">
        <f t="shared" si="7"/>
        <v>81391.9797</v>
      </c>
    </row>
    <row r="121" spans="1:4" ht="12.75">
      <c r="A121" s="11">
        <v>1663</v>
      </c>
      <c r="B121" s="9">
        <v>321889</v>
      </c>
      <c r="C121" s="9">
        <f t="shared" si="6"/>
        <v>2816528.75</v>
      </c>
      <c r="D121" s="5">
        <f t="shared" si="7"/>
        <v>73036.61409999999</v>
      </c>
    </row>
    <row r="122" spans="1:4" ht="12.75">
      <c r="A122" s="11">
        <v>1664</v>
      </c>
      <c r="B122" s="9">
        <v>340322</v>
      </c>
      <c r="C122" s="9">
        <f t="shared" si="6"/>
        <v>2977817.5</v>
      </c>
      <c r="D122" s="5">
        <f t="shared" si="7"/>
        <v>77219.0618</v>
      </c>
    </row>
    <row r="123" spans="1:4" ht="12.75">
      <c r="A123" s="11">
        <v>1665</v>
      </c>
      <c r="B123" s="9">
        <v>368487</v>
      </c>
      <c r="C123" s="9">
        <f t="shared" si="6"/>
        <v>3224261.25</v>
      </c>
      <c r="D123" s="5">
        <f t="shared" si="7"/>
        <v>83609.7003</v>
      </c>
    </row>
    <row r="124" spans="1:4" ht="12.75">
      <c r="A124" s="11">
        <v>1666</v>
      </c>
      <c r="B124" s="9">
        <v>379825</v>
      </c>
      <c r="C124" s="9">
        <f t="shared" si="6"/>
        <v>3323468.75</v>
      </c>
      <c r="D124" s="5">
        <f t="shared" si="7"/>
        <v>86182.2925</v>
      </c>
    </row>
    <row r="125" spans="1:4" ht="12.75">
      <c r="A125" s="11">
        <v>1667</v>
      </c>
      <c r="B125" s="9">
        <v>398459</v>
      </c>
      <c r="C125" s="9">
        <f t="shared" si="6"/>
        <v>3486516.25</v>
      </c>
      <c r="D125" s="5">
        <f t="shared" si="7"/>
        <v>90410.3471</v>
      </c>
    </row>
    <row r="126" spans="1:4" ht="12.75">
      <c r="A126" s="11">
        <v>1668</v>
      </c>
      <c r="B126" s="9">
        <v>388507</v>
      </c>
      <c r="C126" s="9">
        <f t="shared" si="6"/>
        <v>3399436.25</v>
      </c>
      <c r="D126" s="5">
        <f t="shared" si="7"/>
        <v>88152.2383</v>
      </c>
    </row>
    <row r="127" spans="1:4" ht="12.75">
      <c r="A127" s="11">
        <v>1669</v>
      </c>
      <c r="B127" s="9">
        <v>350821</v>
      </c>
      <c r="C127" s="9">
        <f t="shared" si="6"/>
        <v>3069683.75</v>
      </c>
      <c r="D127" s="5">
        <f t="shared" si="7"/>
        <v>79601.2849</v>
      </c>
    </row>
    <row r="128" spans="1:4" ht="12.75">
      <c r="A128" s="11">
        <v>1670</v>
      </c>
      <c r="B128" s="9">
        <v>311747</v>
      </c>
      <c r="C128" s="9">
        <f t="shared" si="6"/>
        <v>2727786.25</v>
      </c>
      <c r="D128" s="5">
        <f t="shared" si="7"/>
        <v>70735.3943</v>
      </c>
    </row>
    <row r="129" spans="1:4" ht="12.75">
      <c r="A129" s="11">
        <v>1671</v>
      </c>
      <c r="B129" s="9">
        <v>378289</v>
      </c>
      <c r="C129" s="9">
        <f t="shared" si="6"/>
        <v>3310028.75</v>
      </c>
      <c r="D129" s="5">
        <f t="shared" si="7"/>
        <v>85833.7741</v>
      </c>
    </row>
    <row r="130" spans="1:4" ht="12.75">
      <c r="A130" s="11">
        <v>1672</v>
      </c>
      <c r="B130" s="9">
        <v>350770</v>
      </c>
      <c r="C130" s="9">
        <f t="shared" si="6"/>
        <v>3069237.5</v>
      </c>
      <c r="D130" s="5">
        <f t="shared" si="7"/>
        <v>79589.713</v>
      </c>
    </row>
    <row r="131" spans="1:4" ht="12.75">
      <c r="A131" s="11">
        <v>1673</v>
      </c>
      <c r="B131" s="9">
        <v>380434</v>
      </c>
      <c r="C131" s="9">
        <f t="shared" si="6"/>
        <v>3328797.5</v>
      </c>
      <c r="D131" s="5">
        <f t="shared" si="7"/>
        <v>86320.4746</v>
      </c>
    </row>
    <row r="132" spans="1:4" ht="12.75">
      <c r="A132" s="11">
        <v>1674</v>
      </c>
      <c r="B132" s="9">
        <v>378683</v>
      </c>
      <c r="C132" s="9">
        <f t="shared" si="6"/>
        <v>3313476.25</v>
      </c>
      <c r="D132" s="5">
        <f t="shared" si="7"/>
        <v>85923.1727</v>
      </c>
    </row>
    <row r="133" spans="1:4" ht="12.75">
      <c r="A133" s="11">
        <v>1675</v>
      </c>
      <c r="B133" s="9">
        <v>319174</v>
      </c>
      <c r="C133" s="9">
        <f t="shared" si="6"/>
        <v>2792772.5</v>
      </c>
      <c r="D133" s="5">
        <f t="shared" si="7"/>
        <v>72420.5806</v>
      </c>
    </row>
    <row r="134" spans="1:4" ht="12.75">
      <c r="A134" s="11">
        <v>1676</v>
      </c>
      <c r="B134" s="9">
        <v>289216</v>
      </c>
      <c r="C134" s="9">
        <f t="shared" si="6"/>
        <v>2530640</v>
      </c>
      <c r="D134" s="5">
        <f t="shared" si="7"/>
        <v>65623.11039999999</v>
      </c>
    </row>
    <row r="135" spans="1:4" ht="12.75">
      <c r="A135" s="11">
        <v>1677</v>
      </c>
      <c r="B135" s="9">
        <v>309209</v>
      </c>
      <c r="C135" s="9">
        <f t="shared" si="6"/>
        <v>2705578.75</v>
      </c>
      <c r="D135" s="5">
        <f t="shared" si="7"/>
        <v>70159.5221</v>
      </c>
    </row>
    <row r="136" spans="1:4" ht="12.75">
      <c r="A136" s="11">
        <v>1678</v>
      </c>
      <c r="B136" s="9">
        <v>367087</v>
      </c>
      <c r="C136" s="9">
        <f aca="true" t="shared" si="8" ref="C136:C167">B136*8.75</f>
        <v>3212011.25</v>
      </c>
      <c r="D136" s="5">
        <f aca="true" t="shared" si="9" ref="D136:D167">B136*0.2269</f>
        <v>83292.0403</v>
      </c>
    </row>
    <row r="137" spans="1:4" ht="12.75">
      <c r="A137" s="11">
        <v>1679</v>
      </c>
      <c r="B137" s="9">
        <v>350172</v>
      </c>
      <c r="C137" s="9">
        <f t="shared" si="8"/>
        <v>3064005</v>
      </c>
      <c r="D137" s="5">
        <f t="shared" si="9"/>
        <v>79454.02679999999</v>
      </c>
    </row>
    <row r="138" spans="1:4" ht="12.75">
      <c r="A138" s="11">
        <v>1680</v>
      </c>
      <c r="B138" s="9">
        <v>353711</v>
      </c>
      <c r="C138" s="9">
        <f t="shared" si="8"/>
        <v>3094971.25</v>
      </c>
      <c r="D138" s="5">
        <f t="shared" si="9"/>
        <v>80257.0259</v>
      </c>
    </row>
    <row r="139" spans="1:4" ht="12.75">
      <c r="A139" s="11">
        <v>1681</v>
      </c>
      <c r="B139" s="9">
        <v>385481</v>
      </c>
      <c r="C139" s="9">
        <f t="shared" si="8"/>
        <v>3372958.75</v>
      </c>
      <c r="D139" s="5">
        <f t="shared" si="9"/>
        <v>87465.63889999999</v>
      </c>
    </row>
    <row r="140" spans="1:4" ht="12.75">
      <c r="A140" s="11">
        <v>1682</v>
      </c>
      <c r="B140" s="9">
        <v>370614</v>
      </c>
      <c r="C140" s="9">
        <f t="shared" si="8"/>
        <v>3242872.5</v>
      </c>
      <c r="D140" s="5">
        <f t="shared" si="9"/>
        <v>84092.31659999999</v>
      </c>
    </row>
    <row r="141" spans="1:4" ht="12.75">
      <c r="A141" s="11">
        <v>1683</v>
      </c>
      <c r="B141" s="9">
        <v>411230</v>
      </c>
      <c r="C141" s="9">
        <f t="shared" si="8"/>
        <v>3598262.5</v>
      </c>
      <c r="D141" s="5">
        <f t="shared" si="9"/>
        <v>93308.087</v>
      </c>
    </row>
    <row r="142" spans="1:4" ht="12.75">
      <c r="A142" s="11">
        <v>1684</v>
      </c>
      <c r="B142" s="9">
        <v>409328</v>
      </c>
      <c r="C142" s="9">
        <f t="shared" si="8"/>
        <v>3581620</v>
      </c>
      <c r="D142" s="5">
        <f t="shared" si="9"/>
        <v>92876.5232</v>
      </c>
    </row>
    <row r="143" spans="1:4" ht="12.75">
      <c r="A143" s="11">
        <v>1685</v>
      </c>
      <c r="B143" s="9">
        <v>366513</v>
      </c>
      <c r="C143" s="9">
        <f t="shared" si="8"/>
        <v>3206988.75</v>
      </c>
      <c r="D143" s="5">
        <f t="shared" si="9"/>
        <v>83161.7997</v>
      </c>
    </row>
    <row r="144" spans="1:4" ht="12.75">
      <c r="A144" s="11">
        <v>1686</v>
      </c>
      <c r="B144" s="9">
        <v>326904</v>
      </c>
      <c r="C144" s="9">
        <f t="shared" si="8"/>
        <v>2860410</v>
      </c>
      <c r="D144" s="5">
        <f t="shared" si="9"/>
        <v>74174.51759999999</v>
      </c>
    </row>
    <row r="145" spans="1:4" ht="12.75">
      <c r="A145" s="11">
        <v>1687</v>
      </c>
      <c r="B145" s="9">
        <v>360472</v>
      </c>
      <c r="C145" s="9">
        <f t="shared" si="8"/>
        <v>3154130</v>
      </c>
      <c r="D145" s="5">
        <f t="shared" si="9"/>
        <v>81791.0968</v>
      </c>
    </row>
    <row r="146" spans="1:4" ht="12.75">
      <c r="A146" s="11">
        <v>1688</v>
      </c>
      <c r="B146" s="9">
        <v>361206</v>
      </c>
      <c r="C146" s="9">
        <f t="shared" si="8"/>
        <v>3160552.5</v>
      </c>
      <c r="D146" s="5">
        <f t="shared" si="9"/>
        <v>81957.6414</v>
      </c>
    </row>
    <row r="147" spans="1:4" ht="12.75">
      <c r="A147" s="11">
        <v>1689</v>
      </c>
      <c r="B147" s="9">
        <v>361006</v>
      </c>
      <c r="C147" s="9">
        <f t="shared" si="8"/>
        <v>3158802.5</v>
      </c>
      <c r="D147" s="5">
        <f t="shared" si="9"/>
        <v>81912.2614</v>
      </c>
    </row>
    <row r="148" spans="1:4" ht="12.75">
      <c r="A148" s="11">
        <v>1690</v>
      </c>
      <c r="B148" s="9">
        <v>375459</v>
      </c>
      <c r="C148" s="9">
        <f t="shared" si="8"/>
        <v>3285266.25</v>
      </c>
      <c r="D148" s="5">
        <f t="shared" si="9"/>
        <v>85191.6471</v>
      </c>
    </row>
    <row r="149" spans="1:4" ht="12.75">
      <c r="A149" s="11">
        <v>1691</v>
      </c>
      <c r="B149" s="9">
        <v>331234</v>
      </c>
      <c r="C149" s="9">
        <f t="shared" si="8"/>
        <v>2898297.5</v>
      </c>
      <c r="D149" s="5">
        <f t="shared" si="9"/>
        <v>75156.99459999999</v>
      </c>
    </row>
    <row r="150" spans="1:4" ht="12.75">
      <c r="A150" s="11">
        <v>1692</v>
      </c>
      <c r="B150" s="9">
        <v>236935</v>
      </c>
      <c r="C150" s="9">
        <f t="shared" si="8"/>
        <v>2073181.25</v>
      </c>
      <c r="D150" s="5">
        <f t="shared" si="9"/>
        <v>53760.5515</v>
      </c>
    </row>
    <row r="151" spans="1:4" ht="12.75">
      <c r="A151" s="11">
        <v>1693</v>
      </c>
      <c r="B151" s="9">
        <v>318435</v>
      </c>
      <c r="C151" s="9">
        <f t="shared" si="8"/>
        <v>2786306.25</v>
      </c>
      <c r="D151" s="5">
        <f t="shared" si="9"/>
        <v>72252.90149999999</v>
      </c>
    </row>
    <row r="152" spans="1:4" ht="12.75">
      <c r="A152" s="11">
        <v>1694</v>
      </c>
      <c r="B152" s="9">
        <v>305081</v>
      </c>
      <c r="C152" s="9">
        <f t="shared" si="8"/>
        <v>2669458.75</v>
      </c>
      <c r="D152" s="5">
        <f t="shared" si="9"/>
        <v>69222.8789</v>
      </c>
    </row>
    <row r="153" spans="1:4" ht="12.75">
      <c r="A153" s="11">
        <v>1695</v>
      </c>
      <c r="B153" s="9">
        <v>310780</v>
      </c>
      <c r="C153" s="9">
        <f t="shared" si="8"/>
        <v>2719325</v>
      </c>
      <c r="D153" s="5">
        <f t="shared" si="9"/>
        <v>70515.982</v>
      </c>
    </row>
    <row r="154" spans="1:4" ht="12.75">
      <c r="A154" s="11">
        <v>1696</v>
      </c>
      <c r="B154" s="9">
        <v>279442</v>
      </c>
      <c r="C154" s="9">
        <f t="shared" si="8"/>
        <v>2445117.5</v>
      </c>
      <c r="D154" s="5">
        <f t="shared" si="9"/>
        <v>63405.3898</v>
      </c>
    </row>
    <row r="155" spans="1:4" ht="12.75">
      <c r="A155" s="11">
        <v>1697</v>
      </c>
      <c r="B155" s="9">
        <v>263110</v>
      </c>
      <c r="C155" s="9">
        <f t="shared" si="8"/>
        <v>2302212.5</v>
      </c>
      <c r="D155" s="5">
        <f t="shared" si="9"/>
        <v>59699.659</v>
      </c>
    </row>
    <row r="156" spans="1:4" ht="12.75">
      <c r="A156" s="11">
        <v>1698</v>
      </c>
      <c r="B156" s="9">
        <v>242518</v>
      </c>
      <c r="C156" s="9">
        <f t="shared" si="8"/>
        <v>2122032.5</v>
      </c>
      <c r="D156" s="5">
        <f t="shared" si="9"/>
        <v>55027.3342</v>
      </c>
    </row>
    <row r="157" spans="1:4" ht="12.75">
      <c r="A157" s="11">
        <v>1699</v>
      </c>
      <c r="B157" s="9">
        <v>242265</v>
      </c>
      <c r="C157" s="9">
        <f t="shared" si="8"/>
        <v>2119818.75</v>
      </c>
      <c r="D157" s="5">
        <f t="shared" si="9"/>
        <v>54969.928499999995</v>
      </c>
    </row>
    <row r="158" spans="1:4" ht="12.75">
      <c r="A158" s="11">
        <v>1700</v>
      </c>
      <c r="B158" s="9">
        <v>226186</v>
      </c>
      <c r="C158" s="9">
        <f t="shared" si="8"/>
        <v>1979127.5</v>
      </c>
      <c r="D158" s="5">
        <f t="shared" si="9"/>
        <v>51321.6034</v>
      </c>
    </row>
    <row r="159" spans="1:4" ht="12.75">
      <c r="A159" s="11">
        <v>1701</v>
      </c>
      <c r="B159" s="9">
        <v>188857</v>
      </c>
      <c r="C159" s="9">
        <f t="shared" si="8"/>
        <v>1652498.75</v>
      </c>
      <c r="D159" s="5">
        <f t="shared" si="9"/>
        <v>42851.6533</v>
      </c>
    </row>
    <row r="160" spans="1:4" ht="12.75">
      <c r="A160" s="11">
        <v>1702</v>
      </c>
      <c r="B160" s="9">
        <v>207753</v>
      </c>
      <c r="C160" s="9">
        <f t="shared" si="8"/>
        <v>1817838.75</v>
      </c>
      <c r="D160" s="5">
        <f t="shared" si="9"/>
        <v>47139.155699999996</v>
      </c>
    </row>
    <row r="161" spans="1:4" ht="12.75">
      <c r="A161" s="11">
        <v>1703</v>
      </c>
      <c r="B161" s="9">
        <v>200875</v>
      </c>
      <c r="C161" s="9">
        <f t="shared" si="8"/>
        <v>1757656.25</v>
      </c>
      <c r="D161" s="5">
        <f t="shared" si="9"/>
        <v>45578.5375</v>
      </c>
    </row>
    <row r="162" spans="1:4" ht="12.75">
      <c r="A162" s="11">
        <v>1704</v>
      </c>
      <c r="B162" s="9">
        <v>186145</v>
      </c>
      <c r="C162" s="9">
        <f t="shared" si="8"/>
        <v>1628768.75</v>
      </c>
      <c r="D162" s="5">
        <f t="shared" si="9"/>
        <v>42236.3005</v>
      </c>
    </row>
    <row r="163" spans="1:4" ht="12.75">
      <c r="A163" s="11">
        <v>1705</v>
      </c>
      <c r="B163" s="9">
        <v>178087</v>
      </c>
      <c r="C163" s="9">
        <f t="shared" si="8"/>
        <v>1558261.25</v>
      </c>
      <c r="D163" s="5">
        <f t="shared" si="9"/>
        <v>40407.940299999995</v>
      </c>
    </row>
    <row r="164" spans="1:4" ht="12.75">
      <c r="A164" s="11">
        <v>1706</v>
      </c>
      <c r="B164" s="9">
        <v>197799</v>
      </c>
      <c r="C164" s="9">
        <f t="shared" si="8"/>
        <v>1730741.25</v>
      </c>
      <c r="D164" s="5">
        <f t="shared" si="9"/>
        <v>44880.5931</v>
      </c>
    </row>
    <row r="165" spans="1:4" ht="12.75">
      <c r="A165" s="11">
        <v>1707</v>
      </c>
      <c r="B165" s="9">
        <v>203273</v>
      </c>
      <c r="C165" s="9">
        <f t="shared" si="8"/>
        <v>1778638.75</v>
      </c>
      <c r="D165" s="5">
        <f t="shared" si="9"/>
        <v>46122.6437</v>
      </c>
    </row>
    <row r="166" spans="1:4" ht="12.75">
      <c r="A166" s="11">
        <v>1708</v>
      </c>
      <c r="B166" s="9">
        <v>208716</v>
      </c>
      <c r="C166" s="9">
        <f t="shared" si="8"/>
        <v>1826265</v>
      </c>
      <c r="D166" s="5">
        <f t="shared" si="9"/>
        <v>47357.6604</v>
      </c>
    </row>
    <row r="167" spans="1:4" ht="12.75">
      <c r="A167" s="11">
        <v>1709</v>
      </c>
      <c r="B167" s="9">
        <v>186352</v>
      </c>
      <c r="C167" s="9">
        <f t="shared" si="8"/>
        <v>1630580</v>
      </c>
      <c r="D167" s="5">
        <f t="shared" si="9"/>
        <v>42283.2688</v>
      </c>
    </row>
    <row r="168" spans="1:4" ht="12.75">
      <c r="A168" s="11">
        <v>1710</v>
      </c>
      <c r="B168" s="9">
        <v>172364</v>
      </c>
      <c r="C168" s="9">
        <f aca="true" t="shared" si="10" ref="C168:C193">B168*8.75</f>
        <v>1508185</v>
      </c>
      <c r="D168" s="5">
        <f aca="true" t="shared" si="11" ref="D168:D193">B168*0.2269</f>
        <v>39109.391599999995</v>
      </c>
    </row>
    <row r="169" spans="1:4" ht="12.75">
      <c r="A169" s="11">
        <v>1711</v>
      </c>
      <c r="B169" s="9">
        <v>137303</v>
      </c>
      <c r="C169" s="9">
        <f t="shared" si="10"/>
        <v>1201401.25</v>
      </c>
      <c r="D169" s="5">
        <f t="shared" si="11"/>
        <v>31154.0507</v>
      </c>
    </row>
    <row r="170" spans="1:4" ht="12.75">
      <c r="A170" s="11">
        <v>1712</v>
      </c>
      <c r="B170" s="9">
        <v>114310</v>
      </c>
      <c r="C170" s="9">
        <f t="shared" si="10"/>
        <v>1000212.5</v>
      </c>
      <c r="D170" s="5">
        <f t="shared" si="11"/>
        <v>25936.939</v>
      </c>
    </row>
    <row r="171" spans="1:4" ht="12.75">
      <c r="A171" s="11">
        <v>1713</v>
      </c>
      <c r="B171" s="9">
        <v>156317</v>
      </c>
      <c r="C171" s="9">
        <f t="shared" si="10"/>
        <v>1367773.75</v>
      </c>
      <c r="D171" s="5">
        <f t="shared" si="11"/>
        <v>35468.3273</v>
      </c>
    </row>
    <row r="172" spans="1:4" ht="12.75">
      <c r="A172" s="11">
        <v>1714</v>
      </c>
      <c r="B172" s="9">
        <v>147868</v>
      </c>
      <c r="C172" s="9">
        <f t="shared" si="10"/>
        <v>1293845</v>
      </c>
      <c r="D172" s="5">
        <f t="shared" si="11"/>
        <v>33551.2492</v>
      </c>
    </row>
    <row r="173" spans="1:4" ht="12.75">
      <c r="A173" s="11">
        <v>1715</v>
      </c>
      <c r="B173" s="9">
        <v>127121</v>
      </c>
      <c r="C173" s="9">
        <f t="shared" si="10"/>
        <v>1112308.75</v>
      </c>
      <c r="D173" s="5">
        <f t="shared" si="11"/>
        <v>28843.7549</v>
      </c>
    </row>
    <row r="174" spans="1:4" ht="12.75">
      <c r="A174" s="11">
        <v>1716</v>
      </c>
      <c r="B174" s="9">
        <v>133245</v>
      </c>
      <c r="C174" s="9">
        <f t="shared" si="10"/>
        <v>1165893.75</v>
      </c>
      <c r="D174" s="5">
        <f t="shared" si="11"/>
        <v>30233.2905</v>
      </c>
    </row>
    <row r="175" spans="1:4" ht="12.75">
      <c r="A175" s="11">
        <v>1717</v>
      </c>
      <c r="B175" s="9">
        <v>198682</v>
      </c>
      <c r="C175" s="9">
        <f t="shared" si="10"/>
        <v>1738467.5</v>
      </c>
      <c r="D175" s="5">
        <f t="shared" si="11"/>
        <v>45080.9458</v>
      </c>
    </row>
    <row r="176" spans="1:4" ht="12.75">
      <c r="A176" s="11">
        <v>1718</v>
      </c>
      <c r="B176" s="9">
        <v>179441</v>
      </c>
      <c r="C176" s="9">
        <f t="shared" si="10"/>
        <v>1570108.75</v>
      </c>
      <c r="D176" s="5">
        <f t="shared" si="11"/>
        <v>40715.162899999996</v>
      </c>
    </row>
    <row r="177" spans="1:4" ht="12.75">
      <c r="A177" s="11">
        <v>1719</v>
      </c>
      <c r="B177" s="9">
        <v>160492</v>
      </c>
      <c r="C177" s="9">
        <f t="shared" si="10"/>
        <v>1404305</v>
      </c>
      <c r="D177" s="5">
        <f t="shared" si="11"/>
        <v>36415.6348</v>
      </c>
    </row>
    <row r="178" spans="1:4" ht="12.75">
      <c r="A178" s="11">
        <v>1720</v>
      </c>
      <c r="B178" s="9">
        <v>128773</v>
      </c>
      <c r="C178" s="9">
        <f t="shared" si="10"/>
        <v>1126763.75</v>
      </c>
      <c r="D178" s="5">
        <f t="shared" si="11"/>
        <v>29218.593699999998</v>
      </c>
    </row>
    <row r="179" spans="1:4" ht="12.75">
      <c r="A179" s="11">
        <v>1721</v>
      </c>
      <c r="B179" s="9">
        <v>127517</v>
      </c>
      <c r="C179" s="9">
        <f t="shared" si="10"/>
        <v>1115773.75</v>
      </c>
      <c r="D179" s="5">
        <f t="shared" si="11"/>
        <v>28933.6073</v>
      </c>
    </row>
    <row r="180" spans="1:4" ht="12.75">
      <c r="A180" s="11">
        <v>1722</v>
      </c>
      <c r="B180" s="9">
        <v>127076</v>
      </c>
      <c r="C180" s="9">
        <f t="shared" si="10"/>
        <v>1111915</v>
      </c>
      <c r="D180" s="5">
        <f t="shared" si="11"/>
        <v>28833.5444</v>
      </c>
    </row>
    <row r="181" spans="1:4" ht="12.75">
      <c r="A181" s="11">
        <v>1723</v>
      </c>
      <c r="B181" s="9">
        <v>119576</v>
      </c>
      <c r="C181" s="9">
        <f t="shared" si="10"/>
        <v>1046290</v>
      </c>
      <c r="D181" s="5">
        <f t="shared" si="11"/>
        <v>27131.7944</v>
      </c>
    </row>
    <row r="182" spans="1:4" ht="12.75">
      <c r="A182" s="11">
        <v>1724</v>
      </c>
      <c r="B182" s="9">
        <v>136868</v>
      </c>
      <c r="C182" s="9">
        <f t="shared" si="10"/>
        <v>1197595</v>
      </c>
      <c r="D182" s="5">
        <f t="shared" si="11"/>
        <v>31055.349199999997</v>
      </c>
    </row>
    <row r="183" spans="1:4" ht="12.75">
      <c r="A183" s="11">
        <v>1725</v>
      </c>
      <c r="B183" s="9">
        <v>124222</v>
      </c>
      <c r="C183" s="9">
        <f t="shared" si="10"/>
        <v>1086942.5</v>
      </c>
      <c r="D183" s="5">
        <f t="shared" si="11"/>
        <v>28185.9718</v>
      </c>
    </row>
    <row r="184" spans="1:4" ht="12.75">
      <c r="A184" s="11">
        <v>1726</v>
      </c>
      <c r="B184" s="9">
        <v>152806</v>
      </c>
      <c r="C184" s="9">
        <f t="shared" si="10"/>
        <v>1337052.5</v>
      </c>
      <c r="D184" s="5">
        <f t="shared" si="11"/>
        <v>34671.6814</v>
      </c>
    </row>
    <row r="185" spans="1:4" ht="12.75">
      <c r="A185" s="11">
        <v>1727</v>
      </c>
      <c r="B185" s="9">
        <v>159439</v>
      </c>
      <c r="C185" s="9">
        <f t="shared" si="10"/>
        <v>1395091.25</v>
      </c>
      <c r="D185" s="5">
        <f t="shared" si="11"/>
        <v>36176.7091</v>
      </c>
    </row>
    <row r="186" spans="1:4" ht="12.75">
      <c r="A186" s="11">
        <v>1728</v>
      </c>
      <c r="B186" s="9">
        <v>178577</v>
      </c>
      <c r="C186" s="9">
        <f t="shared" si="10"/>
        <v>1562548.75</v>
      </c>
      <c r="D186" s="5">
        <f t="shared" si="11"/>
        <v>40519.1213</v>
      </c>
    </row>
    <row r="187" spans="1:4" ht="12.75">
      <c r="A187" s="11">
        <v>1729</v>
      </c>
      <c r="B187" s="9">
        <v>200693</v>
      </c>
      <c r="C187" s="9">
        <f t="shared" si="10"/>
        <v>1756063.75</v>
      </c>
      <c r="D187" s="5">
        <f t="shared" si="11"/>
        <v>45537.2417</v>
      </c>
    </row>
    <row r="188" spans="1:4" ht="12.75">
      <c r="A188" s="11">
        <v>1730</v>
      </c>
      <c r="B188" s="9">
        <v>168924</v>
      </c>
      <c r="C188" s="9">
        <f t="shared" si="10"/>
        <v>1478085</v>
      </c>
      <c r="D188" s="5">
        <f t="shared" si="11"/>
        <v>38328.855599999995</v>
      </c>
    </row>
    <row r="189" spans="1:4" ht="12.75">
      <c r="A189" s="11">
        <v>1731</v>
      </c>
      <c r="B189" s="9">
        <v>163430</v>
      </c>
      <c r="C189" s="9">
        <f t="shared" si="10"/>
        <v>1430012.5</v>
      </c>
      <c r="D189" s="5">
        <f t="shared" si="11"/>
        <v>37082.267</v>
      </c>
    </row>
    <row r="190" spans="1:4" ht="12.75">
      <c r="A190" s="11">
        <v>1732</v>
      </c>
      <c r="B190" s="9">
        <v>171583</v>
      </c>
      <c r="C190" s="9">
        <f t="shared" si="10"/>
        <v>1501351.25</v>
      </c>
      <c r="D190" s="5">
        <f t="shared" si="11"/>
        <v>38932.1827</v>
      </c>
    </row>
    <row r="191" spans="1:4" ht="12.75">
      <c r="A191" s="11">
        <v>1733</v>
      </c>
      <c r="B191" s="9">
        <v>169707</v>
      </c>
      <c r="C191" s="9">
        <f t="shared" si="10"/>
        <v>1484936.25</v>
      </c>
      <c r="D191" s="5">
        <f t="shared" si="11"/>
        <v>38506.518299999996</v>
      </c>
    </row>
    <row r="192" spans="1:4" ht="12.75">
      <c r="A192" s="11">
        <v>1734</v>
      </c>
      <c r="B192" s="9">
        <v>152064</v>
      </c>
      <c r="C192" s="9">
        <f t="shared" si="10"/>
        <v>1330560</v>
      </c>
      <c r="D192" s="5">
        <f t="shared" si="11"/>
        <v>34503.321599999996</v>
      </c>
    </row>
    <row r="193" spans="1:4" ht="12.75">
      <c r="A193" s="11">
        <v>1735</v>
      </c>
      <c r="B193" s="9">
        <v>151250</v>
      </c>
      <c r="C193" s="9">
        <f t="shared" si="10"/>
        <v>1323437.5</v>
      </c>
      <c r="D193" s="5">
        <f t="shared" si="11"/>
        <v>34318.625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</sheetPr>
  <dimension ref="A1:E37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8.140625" style="0" customWidth="1"/>
    <col min="2" max="2" width="10.00390625" style="0" customWidth="1"/>
    <col min="3" max="3" width="10.28125" style="0" customWidth="1"/>
    <col min="4" max="5" width="11.421875" style="0" customWidth="1"/>
  </cols>
  <sheetData>
    <row r="1" spans="1:5" ht="12.75">
      <c r="A1" s="11" t="s">
        <v>2</v>
      </c>
      <c r="B1" s="10" t="s">
        <v>486</v>
      </c>
      <c r="C1" s="9"/>
      <c r="D1" s="5"/>
      <c r="E1" s="5"/>
    </row>
    <row r="2" spans="1:5" ht="12.75">
      <c r="A2" s="11"/>
      <c r="B2" s="10" t="s">
        <v>6</v>
      </c>
      <c r="C2" s="9"/>
      <c r="D2" s="5"/>
      <c r="E2" s="5"/>
    </row>
    <row r="3" spans="1:5" ht="12.75">
      <c r="A3" s="11"/>
      <c r="B3" s="10" t="s">
        <v>521</v>
      </c>
      <c r="C3" s="9"/>
      <c r="D3" s="5"/>
      <c r="E3" s="5"/>
    </row>
    <row r="4" spans="1:5" ht="12.75">
      <c r="A4" s="11"/>
      <c r="B4" s="10" t="s">
        <v>481</v>
      </c>
      <c r="C4" s="9"/>
      <c r="D4" s="5"/>
      <c r="E4" s="5"/>
    </row>
    <row r="5" spans="1:5" ht="12.75">
      <c r="A5" s="11"/>
      <c r="B5" s="9"/>
      <c r="C5" s="9"/>
      <c r="D5" s="5"/>
      <c r="E5" s="5"/>
    </row>
    <row r="6" spans="1:5" ht="12.75">
      <c r="A6" s="11" t="s">
        <v>575</v>
      </c>
      <c r="B6" s="10" t="s">
        <v>404</v>
      </c>
      <c r="C6" s="10" t="s">
        <v>479</v>
      </c>
      <c r="D6" s="4" t="s">
        <v>389</v>
      </c>
      <c r="E6" s="5"/>
    </row>
    <row r="7" spans="1:5" ht="12.75">
      <c r="A7" s="11"/>
      <c r="B7" s="10" t="s">
        <v>193</v>
      </c>
      <c r="C7" s="10" t="s">
        <v>201</v>
      </c>
      <c r="D7" s="4" t="s">
        <v>514</v>
      </c>
      <c r="E7" s="5"/>
    </row>
    <row r="8" spans="1:5" ht="12.75">
      <c r="A8" s="11"/>
      <c r="B8" s="9"/>
      <c r="C8" s="9"/>
      <c r="D8" s="5"/>
      <c r="E8" s="5"/>
    </row>
    <row r="9" spans="1:5" ht="12.75">
      <c r="A9" s="11">
        <v>1550</v>
      </c>
      <c r="B9" s="9">
        <v>379244</v>
      </c>
      <c r="C9" s="9">
        <f>B9*8.75</f>
        <v>3318385</v>
      </c>
      <c r="D9" s="5">
        <f>B9*0.2269</f>
        <v>86050.4636</v>
      </c>
      <c r="E9" s="5"/>
    </row>
    <row r="10" spans="1:5" ht="12.75">
      <c r="A10" s="11"/>
      <c r="B10" s="9"/>
      <c r="C10" s="9"/>
      <c r="D10" s="5"/>
      <c r="E10" s="5"/>
    </row>
    <row r="11" spans="1:5" ht="12.75">
      <c r="A11" s="11">
        <v>1551</v>
      </c>
      <c r="B11" s="9">
        <v>327634</v>
      </c>
      <c r="C11" s="9">
        <f>B11*8.75</f>
        <v>2866797.5</v>
      </c>
      <c r="D11" s="5">
        <f>B11*0.2269</f>
        <v>74340.1546</v>
      </c>
      <c r="E11" s="5"/>
    </row>
    <row r="12" spans="1:5" ht="12.75">
      <c r="A12" s="11">
        <v>1552</v>
      </c>
      <c r="B12" s="9">
        <v>308658</v>
      </c>
      <c r="C12" s="9">
        <f>B12*8.75</f>
        <v>2700757.5</v>
      </c>
      <c r="D12" s="5">
        <f>B12*0.2269</f>
        <v>70034.5002</v>
      </c>
      <c r="E12" s="5"/>
    </row>
    <row r="13" spans="1:5" ht="12.75">
      <c r="A13" s="11">
        <v>1553</v>
      </c>
      <c r="B13" s="9">
        <v>319058</v>
      </c>
      <c r="C13" s="9">
        <f>B13*8.75</f>
        <v>2791757.5</v>
      </c>
      <c r="D13" s="5">
        <f>B13*0.2269</f>
        <v>72394.2602</v>
      </c>
      <c r="E13" s="5"/>
    </row>
    <row r="14" spans="1:5" ht="12.75">
      <c r="A14" s="11">
        <v>1554</v>
      </c>
      <c r="B14" s="9">
        <v>207776</v>
      </c>
      <c r="C14" s="9">
        <f>B14*8.75</f>
        <v>1818040</v>
      </c>
      <c r="D14" s="5">
        <f>B14*0.2269</f>
        <v>47144.3744</v>
      </c>
      <c r="E14" s="5"/>
    </row>
    <row r="15" spans="1:5" ht="12.75">
      <c r="A15" s="11">
        <v>1555</v>
      </c>
      <c r="B15" s="9">
        <v>265893</v>
      </c>
      <c r="C15" s="9">
        <f>B15*8.75</f>
        <v>2326563.75</v>
      </c>
      <c r="D15" s="5">
        <f>B15*0.2269</f>
        <v>60331.121699999996</v>
      </c>
      <c r="E15" s="5"/>
    </row>
    <row r="16" spans="1:5" ht="12.75">
      <c r="A16" s="11"/>
      <c r="B16" s="9"/>
      <c r="C16" s="9"/>
      <c r="D16" s="5"/>
      <c r="E16" s="5"/>
    </row>
    <row r="17" spans="1:5" ht="12.75">
      <c r="A17" s="11" t="s">
        <v>427</v>
      </c>
      <c r="B17" s="9">
        <f>SUM(B11:B16)/5</f>
        <v>285803.8</v>
      </c>
      <c r="C17" s="9">
        <f>B17*8.75</f>
        <v>2500783.25</v>
      </c>
      <c r="D17" s="5">
        <f>B17*0.2269</f>
        <v>64848.88221999999</v>
      </c>
      <c r="E17" s="5"/>
    </row>
    <row r="18" spans="1:5" ht="12.75">
      <c r="A18" s="11"/>
      <c r="B18" s="9"/>
      <c r="C18" s="9"/>
      <c r="D18" s="5"/>
      <c r="E18" s="5"/>
    </row>
    <row r="19" spans="1:5" ht="12.75">
      <c r="A19" s="11">
        <v>1556</v>
      </c>
      <c r="B19" s="9">
        <v>263177</v>
      </c>
      <c r="C19" s="9">
        <f>B19*8.75</f>
        <v>2302798.75</v>
      </c>
      <c r="D19" s="5">
        <f>B19*0.2269</f>
        <v>59714.8613</v>
      </c>
      <c r="E19" s="5"/>
    </row>
    <row r="20" spans="1:5" ht="12.75">
      <c r="A20" s="11">
        <v>1557</v>
      </c>
      <c r="B20" s="9">
        <v>273556</v>
      </c>
      <c r="C20" s="9">
        <f>B20*8.75</f>
        <v>2393615</v>
      </c>
      <c r="D20" s="5">
        <f>B20*0.2269</f>
        <v>62069.8564</v>
      </c>
      <c r="E20" s="5"/>
    </row>
    <row r="21" spans="1:5" ht="12.75">
      <c r="A21" s="11">
        <v>1558</v>
      </c>
      <c r="B21" s="9">
        <v>225978</v>
      </c>
      <c r="C21" s="9">
        <f>B21*8.75</f>
        <v>1977307.5</v>
      </c>
      <c r="D21" s="5">
        <f>B21*0.2269</f>
        <v>51274.4082</v>
      </c>
      <c r="E21" s="5"/>
    </row>
    <row r="22" spans="1:5" ht="12.75">
      <c r="A22" s="11">
        <v>1559</v>
      </c>
      <c r="B22" s="9">
        <v>209568</v>
      </c>
      <c r="C22" s="9">
        <f>B22*8.75</f>
        <v>1833720</v>
      </c>
      <c r="D22" s="5">
        <f>B22*0.2269</f>
        <v>47550.9792</v>
      </c>
      <c r="E22" s="5"/>
    </row>
    <row r="23" spans="1:5" ht="12.75">
      <c r="A23" s="11">
        <v>1560</v>
      </c>
      <c r="B23" s="9">
        <v>225071</v>
      </c>
      <c r="C23" s="9">
        <f>B23*8.75</f>
        <v>1969371.25</v>
      </c>
      <c r="D23" s="5">
        <f>B23*0.2269</f>
        <v>51068.609899999996</v>
      </c>
      <c r="E23" s="5"/>
    </row>
    <row r="24" spans="1:5" ht="12.75">
      <c r="A24" s="11"/>
      <c r="B24" s="9"/>
      <c r="C24" s="9"/>
      <c r="D24" s="5"/>
      <c r="E24" s="5"/>
    </row>
    <row r="25" spans="1:5" ht="12.75">
      <c r="A25" s="11" t="s">
        <v>427</v>
      </c>
      <c r="B25" s="9">
        <f>SUM(B19:B24)/5</f>
        <v>239470</v>
      </c>
      <c r="C25" s="9">
        <f>B25*8.75</f>
        <v>2095362.5</v>
      </c>
      <c r="D25" s="5">
        <f>B25*0.2269</f>
        <v>54335.742999999995</v>
      </c>
      <c r="E25" s="5"/>
    </row>
    <row r="26" spans="1:5" ht="12.75">
      <c r="A26" s="11"/>
      <c r="B26" s="9"/>
      <c r="C26" s="9"/>
      <c r="D26" s="5"/>
      <c r="E26" s="5"/>
    </row>
    <row r="27" spans="1:5" ht="12.75">
      <c r="A27" s="11">
        <v>1561</v>
      </c>
      <c r="B27" s="9">
        <v>219481</v>
      </c>
      <c r="C27" s="9">
        <f>B27*8.75</f>
        <v>1920458.75</v>
      </c>
      <c r="D27" s="5">
        <f>B27*0.2269</f>
        <v>49800.2389</v>
      </c>
      <c r="E27" s="5"/>
    </row>
    <row r="28" spans="1:5" ht="12.75">
      <c r="A28" s="11">
        <v>1562</v>
      </c>
      <c r="B28" s="9">
        <v>246940</v>
      </c>
      <c r="C28" s="9">
        <f>B28*8.75</f>
        <v>2160725</v>
      </c>
      <c r="D28" s="5">
        <f>B28*0.2269</f>
        <v>56030.685999999994</v>
      </c>
      <c r="E28" s="5"/>
    </row>
    <row r="29" spans="1:5" ht="12.75">
      <c r="A29" s="11">
        <v>1563</v>
      </c>
      <c r="B29" s="9">
        <v>256767</v>
      </c>
      <c r="C29" s="9">
        <f>B29*8.75</f>
        <v>2246711.25</v>
      </c>
      <c r="D29" s="5">
        <f>B29*0.2269</f>
        <v>58260.4323</v>
      </c>
      <c r="E29" s="5"/>
    </row>
    <row r="30" spans="1:5" ht="12.75">
      <c r="A30" s="11">
        <v>1564</v>
      </c>
      <c r="B30" s="9">
        <v>228164</v>
      </c>
      <c r="C30" s="9">
        <f>B30*8.75</f>
        <v>1996435</v>
      </c>
      <c r="D30" s="5">
        <f>B30*0.2269</f>
        <v>51770.4116</v>
      </c>
      <c r="E30" s="5"/>
    </row>
    <row r="31" spans="1:5" ht="12.75">
      <c r="A31" s="11">
        <v>1565</v>
      </c>
      <c r="B31" s="9">
        <v>284443</v>
      </c>
      <c r="C31" s="9">
        <f>B31*8.75</f>
        <v>2488876.25</v>
      </c>
      <c r="D31" s="5">
        <f>B31*0.2269</f>
        <v>64540.1167</v>
      </c>
      <c r="E31" s="5"/>
    </row>
    <row r="32" spans="1:5" ht="12.75">
      <c r="A32" s="11"/>
      <c r="B32" s="9"/>
      <c r="C32" s="9"/>
      <c r="D32" s="5"/>
      <c r="E32" s="5"/>
    </row>
    <row r="33" spans="1:5" ht="12.75">
      <c r="A33" s="11" t="s">
        <v>427</v>
      </c>
      <c r="B33" s="9">
        <f>SUM(B27:B32)/5</f>
        <v>247159</v>
      </c>
      <c r="C33" s="9">
        <f>B33*8.75</f>
        <v>2162641.25</v>
      </c>
      <c r="D33" s="5">
        <f>B33*0.2269</f>
        <v>56080.3771</v>
      </c>
      <c r="E33" s="5"/>
    </row>
    <row r="34" spans="1:5" ht="12.75">
      <c r="A34" s="11"/>
      <c r="B34" s="9"/>
      <c r="C34" s="9"/>
      <c r="D34" s="5"/>
      <c r="E34" s="5"/>
    </row>
    <row r="35" spans="1:5" ht="12.75">
      <c r="A35" s="11">
        <v>1566</v>
      </c>
      <c r="B35" s="9">
        <v>274420</v>
      </c>
      <c r="C35" s="9">
        <f>B35*8.75</f>
        <v>2401175</v>
      </c>
      <c r="D35" s="5">
        <f>B35*0.2269</f>
        <v>62265.898</v>
      </c>
      <c r="E35" s="5"/>
    </row>
    <row r="36" spans="1:5" ht="12.75">
      <c r="A36" s="11">
        <v>1567</v>
      </c>
      <c r="B36" s="9">
        <v>236355</v>
      </c>
      <c r="C36" s="9">
        <f>B36*8.75</f>
        <v>2068106.25</v>
      </c>
      <c r="D36" s="5">
        <f>B36*0.2269</f>
        <v>53628.949499999995</v>
      </c>
      <c r="E36" s="5"/>
    </row>
    <row r="37" spans="1:5" ht="12.75">
      <c r="A37" s="11">
        <v>1568</v>
      </c>
      <c r="B37" s="9">
        <v>225300</v>
      </c>
      <c r="C37" s="9">
        <f>B37*8.75</f>
        <v>1971375</v>
      </c>
      <c r="D37" s="5">
        <f>B37*0.2269</f>
        <v>51120.57</v>
      </c>
      <c r="E37" s="5"/>
    </row>
    <row r="38" spans="1:5" ht="12.75">
      <c r="A38" s="11">
        <v>1569</v>
      </c>
      <c r="B38" s="9">
        <v>216516</v>
      </c>
      <c r="C38" s="9">
        <f>B38*8.75</f>
        <v>1894515</v>
      </c>
      <c r="D38" s="5">
        <f>B38*0.2269</f>
        <v>49127.4804</v>
      </c>
      <c r="E38" s="5"/>
    </row>
    <row r="39" spans="1:5" ht="12.75">
      <c r="A39" s="11">
        <v>1570</v>
      </c>
      <c r="B39" s="9">
        <v>187071</v>
      </c>
      <c r="C39" s="9">
        <f>B39*8.75</f>
        <v>1636871.25</v>
      </c>
      <c r="D39" s="5">
        <f>B39*0.2269</f>
        <v>42446.4099</v>
      </c>
      <c r="E39" s="5"/>
    </row>
    <row r="40" spans="1:5" ht="12.75">
      <c r="A40" s="11"/>
      <c r="B40" s="9"/>
      <c r="C40" s="9"/>
      <c r="D40" s="5"/>
      <c r="E40" s="5"/>
    </row>
    <row r="41" spans="1:5" ht="12.75">
      <c r="A41" s="11" t="s">
        <v>427</v>
      </c>
      <c r="B41" s="9">
        <f>SUM(B35:B40)/5</f>
        <v>227932.4</v>
      </c>
      <c r="C41" s="9">
        <f>B41*8.75</f>
        <v>1994408.5</v>
      </c>
      <c r="D41" s="5">
        <f>B41*0.2269</f>
        <v>51717.86156</v>
      </c>
      <c r="E41" s="5"/>
    </row>
    <row r="42" spans="1:5" ht="12.75">
      <c r="A42" s="11"/>
      <c r="B42" s="9"/>
      <c r="C42" s="9"/>
      <c r="D42" s="5"/>
      <c r="E42" s="5"/>
    </row>
    <row r="43" spans="1:5" ht="12.75">
      <c r="A43" s="11">
        <v>1571</v>
      </c>
      <c r="B43" s="9">
        <v>134018</v>
      </c>
      <c r="C43" s="9">
        <f>B43*8.75</f>
        <v>1172657.5</v>
      </c>
      <c r="D43" s="5">
        <f>B43*0.2269</f>
        <v>30408.6842</v>
      </c>
      <c r="E43" s="5"/>
    </row>
    <row r="44" spans="1:5" ht="12.75">
      <c r="A44" s="11">
        <v>1572</v>
      </c>
      <c r="B44" s="9">
        <v>114878</v>
      </c>
      <c r="C44" s="9">
        <f>B44*8.75</f>
        <v>1005182.5</v>
      </c>
      <c r="D44" s="5">
        <f>B44*0.2269</f>
        <v>26065.818199999998</v>
      </c>
      <c r="E44" s="5"/>
    </row>
    <row r="45" spans="1:5" ht="12.75">
      <c r="A45" s="11">
        <v>1573</v>
      </c>
      <c r="B45" s="9">
        <v>140550</v>
      </c>
      <c r="C45" s="9">
        <f>B45*8.75</f>
        <v>1229812.5</v>
      </c>
      <c r="D45" s="5">
        <f>B45*0.2269</f>
        <v>31890.795</v>
      </c>
      <c r="E45" s="5"/>
    </row>
    <row r="46" spans="1:5" ht="12.75">
      <c r="A46" s="11">
        <v>1574</v>
      </c>
      <c r="B46" s="9">
        <v>179531</v>
      </c>
      <c r="C46" s="9">
        <f>B46*8.75</f>
        <v>1570896.25</v>
      </c>
      <c r="D46" s="5">
        <f>B46*0.2269</f>
        <v>40735.5839</v>
      </c>
      <c r="E46" s="5"/>
    </row>
    <row r="47" spans="1:5" ht="12.75">
      <c r="A47" s="11">
        <v>1575</v>
      </c>
      <c r="B47" s="9">
        <v>233998</v>
      </c>
      <c r="C47" s="9">
        <f>B47*8.75</f>
        <v>2047482.5</v>
      </c>
      <c r="D47" s="5">
        <f>B47*0.2269</f>
        <v>53094.146199999996</v>
      </c>
      <c r="E47" s="5"/>
    </row>
    <row r="48" spans="1:5" ht="12.75">
      <c r="A48" s="11"/>
      <c r="B48" s="9"/>
      <c r="C48" s="9"/>
      <c r="D48" s="5"/>
      <c r="E48" s="5"/>
    </row>
    <row r="49" spans="1:5" ht="12.75">
      <c r="A49" s="11" t="s">
        <v>427</v>
      </c>
      <c r="B49" s="9">
        <f>SUM(B43:B48)/5</f>
        <v>160595</v>
      </c>
      <c r="C49" s="9">
        <f>B49*8.75</f>
        <v>1405206.25</v>
      </c>
      <c r="D49" s="5">
        <f>B49*0.2269</f>
        <v>36439.0055</v>
      </c>
      <c r="E49" s="5"/>
    </row>
    <row r="50" spans="1:5" ht="12.75">
      <c r="A50" s="11"/>
      <c r="B50" s="9"/>
      <c r="C50" s="9"/>
      <c r="D50" s="5"/>
      <c r="E50" s="5"/>
    </row>
    <row r="51" spans="1:5" ht="12.75">
      <c r="A51" s="11">
        <v>1576</v>
      </c>
      <c r="B51" s="9">
        <v>305612</v>
      </c>
      <c r="C51" s="9">
        <f>B51*8.75</f>
        <v>2674105</v>
      </c>
      <c r="D51" s="5">
        <f>B51*0.2269</f>
        <v>69343.3628</v>
      </c>
      <c r="E51" s="5"/>
    </row>
    <row r="52" spans="1:5" ht="12.75">
      <c r="A52" s="11">
        <v>1577</v>
      </c>
      <c r="B52" s="9">
        <v>406121</v>
      </c>
      <c r="C52" s="9">
        <f>B52*8.75</f>
        <v>3553558.75</v>
      </c>
      <c r="D52" s="5">
        <f>B52*0.2269</f>
        <v>92148.85489999999</v>
      </c>
      <c r="E52" s="5"/>
    </row>
    <row r="53" spans="1:5" ht="12.75">
      <c r="A53" s="11">
        <v>1578</v>
      </c>
      <c r="B53" s="9">
        <v>465805</v>
      </c>
      <c r="C53" s="9">
        <f>B53*8.75</f>
        <v>4075793.75</v>
      </c>
      <c r="D53" s="5">
        <f>B53*0.2269</f>
        <v>105691.15449999999</v>
      </c>
      <c r="E53" s="5"/>
    </row>
    <row r="54" spans="1:5" ht="12.75">
      <c r="A54" s="11">
        <v>1579</v>
      </c>
      <c r="B54" s="9">
        <v>613344</v>
      </c>
      <c r="C54" s="9">
        <f>B54*8.75</f>
        <v>5366760</v>
      </c>
      <c r="D54" s="5">
        <f>B54*0.2269</f>
        <v>139167.7536</v>
      </c>
      <c r="E54" s="5"/>
    </row>
    <row r="55" spans="1:5" ht="12.75">
      <c r="A55" s="11">
        <v>1580</v>
      </c>
      <c r="B55" s="9">
        <v>668517</v>
      </c>
      <c r="C55" s="9">
        <f>B55*8.75</f>
        <v>5849523.75</v>
      </c>
      <c r="D55" s="5">
        <f>B55*0.2269</f>
        <v>151686.5073</v>
      </c>
      <c r="E55" s="5"/>
    </row>
    <row r="56" spans="1:5" ht="12.75">
      <c r="A56" s="11"/>
      <c r="B56" s="9"/>
      <c r="C56" s="9"/>
      <c r="D56" s="5"/>
      <c r="E56" s="5"/>
    </row>
    <row r="57" spans="1:5" ht="12.75">
      <c r="A57" s="11" t="s">
        <v>427</v>
      </c>
      <c r="B57" s="9">
        <f>SUM(B51:B56)/5</f>
        <v>491879.8</v>
      </c>
      <c r="C57" s="9">
        <f>B57*8.75</f>
        <v>4303948.25</v>
      </c>
      <c r="D57" s="5">
        <f>B57*0.2269</f>
        <v>111607.52661999999</v>
      </c>
      <c r="E57" s="5"/>
    </row>
    <row r="58" spans="1:5" ht="12.75">
      <c r="A58" s="11"/>
      <c r="B58" s="9"/>
      <c r="C58" s="9"/>
      <c r="D58" s="5"/>
      <c r="E58" s="5"/>
    </row>
    <row r="59" spans="1:5" ht="12.75">
      <c r="A59" s="11">
        <v>1581</v>
      </c>
      <c r="B59" s="9">
        <v>716745</v>
      </c>
      <c r="C59" s="9">
        <f>B59*8.75</f>
        <v>6271518.75</v>
      </c>
      <c r="D59" s="5">
        <f>B59*0.2269</f>
        <v>162629.4405</v>
      </c>
      <c r="E59" s="5"/>
    </row>
    <row r="60" spans="1:5" ht="12.75">
      <c r="A60" s="11">
        <v>1582</v>
      </c>
      <c r="B60" s="9">
        <v>766239</v>
      </c>
      <c r="C60" s="9">
        <f>B60*8.75</f>
        <v>6704591.25</v>
      </c>
      <c r="D60" s="5">
        <f>B60*0.2269</f>
        <v>173859.6291</v>
      </c>
      <c r="E60" s="5"/>
    </row>
    <row r="61" spans="1:5" ht="12.75">
      <c r="A61" s="11">
        <v>1583</v>
      </c>
      <c r="B61" s="9">
        <v>686561</v>
      </c>
      <c r="C61" s="9">
        <f>B61*8.75</f>
        <v>6007408.75</v>
      </c>
      <c r="D61" s="5">
        <f>B61*0.2269</f>
        <v>155780.6909</v>
      </c>
      <c r="E61" s="5"/>
    </row>
    <row r="62" spans="1:5" ht="12.75">
      <c r="A62" s="11">
        <v>1584</v>
      </c>
      <c r="B62" s="9">
        <v>683290</v>
      </c>
      <c r="C62" s="9">
        <f>B62*8.75</f>
        <v>5978787.5</v>
      </c>
      <c r="D62" s="5">
        <f>B62*0.2269</f>
        <v>155038.501</v>
      </c>
      <c r="E62" s="5"/>
    </row>
    <row r="63" spans="1:5" ht="12.75">
      <c r="A63" s="11">
        <v>1585</v>
      </c>
      <c r="B63" s="9">
        <v>858017</v>
      </c>
      <c r="C63" s="9">
        <f>B63*8.75</f>
        <v>7507648.75</v>
      </c>
      <c r="D63" s="5">
        <f>B63*0.2269</f>
        <v>194684.0573</v>
      </c>
      <c r="E63" s="5"/>
    </row>
    <row r="64" spans="1:5" ht="12.75">
      <c r="A64" s="11"/>
      <c r="B64" s="9"/>
      <c r="C64" s="9"/>
      <c r="D64" s="5"/>
      <c r="E64" s="5"/>
    </row>
    <row r="65" spans="1:5" ht="12.75">
      <c r="A65" s="11" t="s">
        <v>427</v>
      </c>
      <c r="B65" s="9">
        <f>SUM(B59:B64)/5</f>
        <v>742170.4</v>
      </c>
      <c r="C65" s="9">
        <f>B65*8.75</f>
        <v>6493991</v>
      </c>
      <c r="D65" s="5">
        <f>B65*0.2269</f>
        <v>168398.46375999998</v>
      </c>
      <c r="E65" s="5"/>
    </row>
    <row r="66" spans="1:5" ht="12.75">
      <c r="A66" s="11"/>
      <c r="B66" s="9"/>
      <c r="C66" s="9"/>
      <c r="D66" s="5"/>
      <c r="E66" s="5"/>
    </row>
    <row r="67" spans="1:5" ht="12.75">
      <c r="A67" s="11">
        <v>1586</v>
      </c>
      <c r="B67" s="9">
        <v>785550</v>
      </c>
      <c r="C67" s="9">
        <f>B67*8.75</f>
        <v>6873562.5</v>
      </c>
      <c r="D67" s="5">
        <f>B67*0.2269</f>
        <v>178241.29499999998</v>
      </c>
      <c r="E67" s="5"/>
    </row>
    <row r="68" spans="1:5" ht="12.75">
      <c r="A68" s="11">
        <v>1587</v>
      </c>
      <c r="B68" s="9">
        <v>676310</v>
      </c>
      <c r="C68" s="9">
        <f>B68*8.75</f>
        <v>5917712.5</v>
      </c>
      <c r="D68" s="5">
        <f>B68*0.2269</f>
        <v>153454.739</v>
      </c>
      <c r="E68" s="5"/>
    </row>
    <row r="69" spans="1:5" ht="12.75">
      <c r="A69" s="11">
        <v>1588</v>
      </c>
      <c r="B69" s="9">
        <v>794314</v>
      </c>
      <c r="C69" s="9">
        <f>B69*8.75</f>
        <v>6950247.5</v>
      </c>
      <c r="D69" s="5">
        <f>B69*0.2269</f>
        <v>180229.8466</v>
      </c>
      <c r="E69" s="5"/>
    </row>
    <row r="70" spans="1:5" ht="12.75">
      <c r="A70" s="11">
        <v>1589</v>
      </c>
      <c r="B70" s="9">
        <v>865185</v>
      </c>
      <c r="C70" s="9">
        <f>B70*8.75</f>
        <v>7570368.75</v>
      </c>
      <c r="D70" s="5">
        <f>B70*0.2269</f>
        <v>196310.4765</v>
      </c>
      <c r="E70" s="5"/>
    </row>
    <row r="71" spans="1:5" ht="12.75">
      <c r="A71" s="11">
        <v>1590</v>
      </c>
      <c r="B71" s="9">
        <v>775501</v>
      </c>
      <c r="C71" s="9">
        <f>B71*8.75</f>
        <v>6785633.75</v>
      </c>
      <c r="D71" s="5">
        <f>B71*0.2269</f>
        <v>175961.1769</v>
      </c>
      <c r="E71" s="5"/>
    </row>
    <row r="72" spans="1:5" ht="12.75">
      <c r="A72" s="11"/>
      <c r="B72" s="9"/>
      <c r="C72" s="9"/>
      <c r="D72" s="5"/>
      <c r="E72" s="5"/>
    </row>
    <row r="73" spans="1:5" ht="12.75">
      <c r="A73" s="11" t="s">
        <v>427</v>
      </c>
      <c r="B73" s="9">
        <f>SUM(B67:B72)/5</f>
        <v>779372</v>
      </c>
      <c r="C73" s="9">
        <f>B73*8.75</f>
        <v>6819505</v>
      </c>
      <c r="D73" s="5">
        <f>B73*0.2269</f>
        <v>176839.5068</v>
      </c>
      <c r="E73" s="5"/>
    </row>
    <row r="74" spans="1:5" ht="12.75">
      <c r="A74" s="11"/>
      <c r="B74" s="9"/>
      <c r="C74" s="9"/>
      <c r="D74" s="5"/>
      <c r="E74" s="5"/>
    </row>
    <row r="75" spans="1:5" ht="12.75">
      <c r="A75" s="11">
        <v>1591</v>
      </c>
      <c r="B75" s="9">
        <v>861717</v>
      </c>
      <c r="C75" s="9">
        <f>B75*8.75</f>
        <v>7540023.75</v>
      </c>
      <c r="D75" s="5">
        <f>B75*0.2269</f>
        <v>195523.58729999998</v>
      </c>
      <c r="E75" s="5"/>
    </row>
    <row r="76" spans="1:5" ht="12.75">
      <c r="A76" s="11">
        <v>1592</v>
      </c>
      <c r="B76" s="9">
        <v>887448</v>
      </c>
      <c r="C76" s="9">
        <f>B76*8.75</f>
        <v>7765170</v>
      </c>
      <c r="D76" s="5">
        <f>B76*0.2269</f>
        <v>201361.95119999998</v>
      </c>
      <c r="E76" s="5"/>
    </row>
    <row r="77" spans="1:5" ht="12.75">
      <c r="A77" s="11">
        <v>1593</v>
      </c>
      <c r="B77" s="9">
        <v>876686</v>
      </c>
      <c r="C77" s="9">
        <f>B77*8.75</f>
        <v>7671002.5</v>
      </c>
      <c r="D77" s="5">
        <f>B77*0.2269</f>
        <v>198920.0534</v>
      </c>
      <c r="E77" s="5"/>
    </row>
    <row r="78" spans="1:5" ht="12.75">
      <c r="A78" s="11">
        <v>1594</v>
      </c>
      <c r="B78" s="9">
        <v>773131</v>
      </c>
      <c r="C78" s="9">
        <f>B78*8.75</f>
        <v>6764896.25</v>
      </c>
      <c r="D78" s="5">
        <f>B78*0.2269</f>
        <v>175423.4239</v>
      </c>
      <c r="E78" s="5"/>
    </row>
    <row r="79" spans="1:5" ht="12.75">
      <c r="A79" s="11">
        <v>1595</v>
      </c>
      <c r="B79" s="9">
        <v>841972</v>
      </c>
      <c r="C79" s="9">
        <f>B79*8.75</f>
        <v>7367255</v>
      </c>
      <c r="D79" s="5">
        <f>B79*0.2269</f>
        <v>191043.4468</v>
      </c>
      <c r="E79" s="5"/>
    </row>
    <row r="80" spans="1:5" ht="12.75">
      <c r="A80" s="11"/>
      <c r="B80" s="9"/>
      <c r="C80" s="9"/>
      <c r="D80" s="5"/>
      <c r="E80" s="5"/>
    </row>
    <row r="81" spans="1:5" ht="12.75">
      <c r="A81" s="11" t="s">
        <v>427</v>
      </c>
      <c r="B81" s="9">
        <f>SUM(B75:B80)/5</f>
        <v>848190.8</v>
      </c>
      <c r="C81" s="9">
        <f>B81*8.75</f>
        <v>7421669.5</v>
      </c>
      <c r="D81" s="5">
        <f>B81*0.2269</f>
        <v>192454.49252</v>
      </c>
      <c r="E81" s="5"/>
    </row>
    <row r="82" spans="1:5" ht="12.75">
      <c r="A82" s="11"/>
      <c r="B82" s="9"/>
      <c r="C82" s="9"/>
      <c r="D82" s="5"/>
      <c r="E82" s="5"/>
    </row>
    <row r="83" spans="1:5" ht="12.75">
      <c r="A83" s="11">
        <v>1596</v>
      </c>
      <c r="B83" s="9">
        <v>809691</v>
      </c>
      <c r="C83" s="9">
        <f>B83*8.75</f>
        <v>7084796.25</v>
      </c>
      <c r="D83" s="5">
        <f>B83*0.2269</f>
        <v>183718.8879</v>
      </c>
      <c r="E83" s="5"/>
    </row>
    <row r="84" spans="1:5" ht="12.75">
      <c r="A84" s="11">
        <v>1597</v>
      </c>
      <c r="B84" s="9">
        <v>747798</v>
      </c>
      <c r="C84" s="9">
        <f>B84*8.75</f>
        <v>6543232.5</v>
      </c>
      <c r="D84" s="5">
        <f>B84*0.2269</f>
        <v>169675.3662</v>
      </c>
      <c r="E84" s="5"/>
    </row>
    <row r="85" spans="1:5" ht="12.75">
      <c r="A85" s="11">
        <v>1598</v>
      </c>
      <c r="B85" s="9">
        <v>723591</v>
      </c>
      <c r="C85" s="9">
        <f>B85*8.75</f>
        <v>6331421.25</v>
      </c>
      <c r="D85" s="5">
        <f>B85*0.2269</f>
        <v>164182.7979</v>
      </c>
      <c r="E85" s="5"/>
    </row>
    <row r="86" spans="1:5" ht="12.75">
      <c r="A86" s="11">
        <v>1599</v>
      </c>
      <c r="B86" s="9">
        <v>735184</v>
      </c>
      <c r="C86" s="9">
        <f>B86*8.75</f>
        <v>6432860</v>
      </c>
      <c r="D86" s="5">
        <f>B86*0.2269</f>
        <v>166813.24959999998</v>
      </c>
      <c r="E86" s="5"/>
    </row>
    <row r="87" spans="1:5" ht="12.75">
      <c r="A87" s="11">
        <v>1600</v>
      </c>
      <c r="B87" s="9">
        <v>722650</v>
      </c>
      <c r="C87" s="9">
        <f>B87*8.75</f>
        <v>6323187.5</v>
      </c>
      <c r="D87" s="5">
        <f>B87*0.2269</f>
        <v>163969.285</v>
      </c>
      <c r="E87" s="5"/>
    </row>
    <row r="88" spans="1:5" ht="12.75">
      <c r="A88" s="11"/>
      <c r="B88" s="9"/>
      <c r="C88" s="9"/>
      <c r="D88" s="5"/>
      <c r="E88" s="5"/>
    </row>
    <row r="89" spans="1:5" ht="12.75">
      <c r="A89" s="11" t="s">
        <v>427</v>
      </c>
      <c r="B89" s="9">
        <f>SUM(B83:B88)/5</f>
        <v>747782.8</v>
      </c>
      <c r="C89" s="9">
        <f>B89*8.75</f>
        <v>6543099.5</v>
      </c>
      <c r="D89" s="5">
        <f>B89*0.2269</f>
        <v>169671.91732</v>
      </c>
      <c r="E89" s="5"/>
    </row>
    <row r="90" spans="1:5" ht="12.75">
      <c r="A90" s="11"/>
      <c r="B90" s="9"/>
      <c r="C90" s="9"/>
      <c r="D90" s="5"/>
      <c r="E90" s="5"/>
    </row>
    <row r="91" spans="1:5" ht="12.75">
      <c r="A91" s="11">
        <v>1601</v>
      </c>
      <c r="B91" s="9">
        <v>814825</v>
      </c>
      <c r="C91" s="9">
        <f>B91*8.75</f>
        <v>7129718.75</v>
      </c>
      <c r="D91" s="5">
        <f>B91*0.2269</f>
        <v>184883.79249999998</v>
      </c>
      <c r="E91" s="5"/>
    </row>
    <row r="92" spans="1:5" ht="12.75">
      <c r="A92" s="11">
        <v>1602</v>
      </c>
      <c r="B92" s="9">
        <v>843333</v>
      </c>
      <c r="C92" s="9">
        <f>B92*8.75</f>
        <v>7379163.75</v>
      </c>
      <c r="D92" s="5">
        <f>B92*0.2269</f>
        <v>191352.2577</v>
      </c>
      <c r="E92" s="5"/>
    </row>
    <row r="93" spans="1:5" ht="12.75">
      <c r="A93" s="11">
        <v>1603</v>
      </c>
      <c r="B93" s="9">
        <v>810560</v>
      </c>
      <c r="C93" s="9">
        <f>B93*8.75</f>
        <v>7092400</v>
      </c>
      <c r="D93" s="5">
        <f>B93*0.2269</f>
        <v>183916.06399999998</v>
      </c>
      <c r="E93" s="5"/>
    </row>
    <row r="94" spans="1:5" ht="12.75">
      <c r="A94" s="11">
        <v>1604</v>
      </c>
      <c r="B94" s="9">
        <v>730100</v>
      </c>
      <c r="C94" s="9">
        <f>B94*8.75</f>
        <v>6388375</v>
      </c>
      <c r="D94" s="5">
        <f>B94*0.2269</f>
        <v>165659.69</v>
      </c>
      <c r="E94" s="5"/>
    </row>
    <row r="95" spans="1:5" ht="12.75">
      <c r="A95" s="11">
        <v>1605</v>
      </c>
      <c r="B95" s="9">
        <v>844153</v>
      </c>
      <c r="C95" s="9">
        <f>B95*8.75</f>
        <v>7386338.75</v>
      </c>
      <c r="D95" s="5">
        <f>B95*0.2269</f>
        <v>191538.3157</v>
      </c>
      <c r="E95" s="5"/>
    </row>
    <row r="96" spans="1:5" ht="12.75">
      <c r="A96" s="11"/>
      <c r="B96" s="9"/>
      <c r="C96" s="9"/>
      <c r="D96" s="5"/>
      <c r="E96" s="5"/>
    </row>
    <row r="97" spans="1:5" ht="12.75">
      <c r="A97" s="11" t="s">
        <v>427</v>
      </c>
      <c r="B97" s="9">
        <f>SUM(B91:B96)/5</f>
        <v>808594.2</v>
      </c>
      <c r="C97" s="9">
        <f>B97*8.75</f>
        <v>7075199.25</v>
      </c>
      <c r="D97" s="5">
        <f>B97*0.2269</f>
        <v>183470.02397999997</v>
      </c>
      <c r="E97" s="5"/>
    </row>
    <row r="98" spans="1:5" ht="12.75">
      <c r="A98" s="11"/>
      <c r="B98" s="9"/>
      <c r="C98" s="9"/>
      <c r="D98" s="5"/>
      <c r="E98" s="5"/>
    </row>
    <row r="99" spans="1:5" ht="12.75">
      <c r="A99" s="11">
        <v>1606</v>
      </c>
      <c r="B99" s="9">
        <v>791381</v>
      </c>
      <c r="C99" s="9">
        <f>B99*8.75</f>
        <v>6924583.75</v>
      </c>
      <c r="D99" s="5">
        <f>B99*0.2269</f>
        <v>179564.34889999998</v>
      </c>
      <c r="E99" s="5"/>
    </row>
    <row r="100" spans="1:5" ht="12.75">
      <c r="A100" s="11">
        <v>1607</v>
      </c>
      <c r="B100" s="9">
        <v>780174</v>
      </c>
      <c r="C100" s="9">
        <f>B100*8.75</f>
        <v>6826522.5</v>
      </c>
      <c r="D100" s="5">
        <f>B100*0.2269</f>
        <v>177021.48059999998</v>
      </c>
      <c r="E100" s="5"/>
    </row>
    <row r="101" spans="1:5" ht="12.75">
      <c r="A101" s="11">
        <v>1608</v>
      </c>
      <c r="B101" s="9">
        <v>662070</v>
      </c>
      <c r="C101" s="9">
        <f>B101*8.75</f>
        <v>5793112.5</v>
      </c>
      <c r="D101" s="5">
        <f>B101*0.2269</f>
        <v>150223.683</v>
      </c>
      <c r="E101" s="5"/>
    </row>
    <row r="102" spans="1:5" ht="12.75">
      <c r="A102" s="11">
        <v>1609</v>
      </c>
      <c r="B102" s="9">
        <v>624666</v>
      </c>
      <c r="C102" s="9">
        <f>B102*8.75</f>
        <v>5465827.5</v>
      </c>
      <c r="D102" s="5">
        <f>B102*0.2269</f>
        <v>141736.7154</v>
      </c>
      <c r="E102" s="5"/>
    </row>
    <row r="103" spans="1:5" ht="12.75">
      <c r="A103" s="11">
        <v>1610</v>
      </c>
      <c r="B103" s="9">
        <v>629445</v>
      </c>
      <c r="C103" s="9">
        <f>B103*8.75</f>
        <v>5507643.75</v>
      </c>
      <c r="D103" s="5">
        <f>B103*0.2269</f>
        <v>142821.0705</v>
      </c>
      <c r="E103" s="5"/>
    </row>
    <row r="104" spans="1:5" ht="12.75">
      <c r="A104" s="11"/>
      <c r="B104" s="9"/>
      <c r="C104" s="9"/>
      <c r="D104" s="5"/>
      <c r="E104" s="5"/>
    </row>
    <row r="105" spans="1:5" ht="12.75">
      <c r="A105" s="11" t="s">
        <v>427</v>
      </c>
      <c r="B105" s="9">
        <f>SUM(B99:B104)/5</f>
        <v>697547.2</v>
      </c>
      <c r="C105" s="9">
        <f>B105*8.75</f>
        <v>6103538</v>
      </c>
      <c r="D105" s="5">
        <f>B105*0.2269</f>
        <v>158273.45967999997</v>
      </c>
      <c r="E105" s="5"/>
    </row>
    <row r="106" spans="1:5" ht="12.75">
      <c r="A106" s="11"/>
      <c r="B106" s="9"/>
      <c r="C106" s="9"/>
      <c r="D106" s="5"/>
      <c r="E106" s="5"/>
    </row>
    <row r="107" spans="1:5" ht="12.75">
      <c r="A107" s="11">
        <v>1611</v>
      </c>
      <c r="B107" s="9">
        <v>698806</v>
      </c>
      <c r="C107" s="9">
        <f>B107*8.75</f>
        <v>6114552.5</v>
      </c>
      <c r="D107" s="5">
        <f>B107*0.2269</f>
        <v>158559.0814</v>
      </c>
      <c r="E107" s="5"/>
    </row>
    <row r="108" spans="1:5" ht="12.75">
      <c r="A108" s="11">
        <v>1612</v>
      </c>
      <c r="B108" s="9">
        <v>741918</v>
      </c>
      <c r="C108" s="9">
        <f>B108*8.75</f>
        <v>6491782.5</v>
      </c>
      <c r="D108" s="5">
        <f>B108*0.2269</f>
        <v>168341.1942</v>
      </c>
      <c r="E108" s="5"/>
    </row>
    <row r="109" spans="1:5" ht="12.75">
      <c r="A109" s="11">
        <v>1613</v>
      </c>
      <c r="B109" s="9">
        <v>662313</v>
      </c>
      <c r="C109" s="9">
        <f>B109*8.75</f>
        <v>5795238.75</v>
      </c>
      <c r="D109" s="5">
        <f>B109*0.2269</f>
        <v>150278.8197</v>
      </c>
      <c r="E109" s="5"/>
    </row>
    <row r="110" spans="1:5" ht="12.75">
      <c r="A110" s="11">
        <v>1614</v>
      </c>
      <c r="B110" s="9">
        <v>700229</v>
      </c>
      <c r="C110" s="9">
        <f>B110*8.75</f>
        <v>6127003.75</v>
      </c>
      <c r="D110" s="5">
        <f>B110*0.2269</f>
        <v>158881.9601</v>
      </c>
      <c r="E110" s="5"/>
    </row>
    <row r="111" spans="1:5" ht="12.75">
      <c r="A111" s="11">
        <v>1615</v>
      </c>
      <c r="B111" s="9">
        <v>746947</v>
      </c>
      <c r="C111" s="9">
        <f>B111*8.75</f>
        <v>6535786.25</v>
      </c>
      <c r="D111" s="5">
        <f>B111*0.2269</f>
        <v>169482.2743</v>
      </c>
      <c r="E111" s="5"/>
    </row>
    <row r="112" spans="1:5" ht="12.75">
      <c r="A112" s="11"/>
      <c r="B112" s="9"/>
      <c r="C112" s="9"/>
      <c r="D112" s="5"/>
      <c r="E112" s="5"/>
    </row>
    <row r="113" spans="1:5" ht="12.75">
      <c r="A113" s="11" t="s">
        <v>427</v>
      </c>
      <c r="B113" s="9">
        <f>SUM(B107:B112)/5</f>
        <v>710042.6</v>
      </c>
      <c r="C113" s="9">
        <f>B113*8.75</f>
        <v>6212872.75</v>
      </c>
      <c r="D113" s="5">
        <f>B113*0.2269</f>
        <v>161108.66593999998</v>
      </c>
      <c r="E113" s="5"/>
    </row>
    <row r="114" spans="1:5" ht="12.75">
      <c r="A114" s="11"/>
      <c r="B114" s="9"/>
      <c r="C114" s="9"/>
      <c r="D114" s="5"/>
      <c r="E114" s="5"/>
    </row>
    <row r="115" spans="1:5" ht="12.75">
      <c r="A115" s="11">
        <v>1616</v>
      </c>
      <c r="B115" s="9">
        <v>693163</v>
      </c>
      <c r="C115" s="9">
        <f>B115*8.75</f>
        <v>6065176.25</v>
      </c>
      <c r="D115" s="5">
        <f>B115*0.2269</f>
        <v>157278.68469999998</v>
      </c>
      <c r="E115" s="5"/>
    </row>
    <row r="116" spans="1:5" ht="12.75">
      <c r="A116" s="11">
        <v>1617</v>
      </c>
      <c r="B116" s="9">
        <v>591162</v>
      </c>
      <c r="C116" s="9">
        <f>B116*8.75</f>
        <v>5172667.5</v>
      </c>
      <c r="D116" s="5">
        <f>B116*0.2269</f>
        <v>134134.6578</v>
      </c>
      <c r="E116" s="5"/>
    </row>
    <row r="117" spans="1:5" ht="12.75">
      <c r="A117" s="11">
        <v>1618</v>
      </c>
      <c r="B117" s="9">
        <v>576359</v>
      </c>
      <c r="C117" s="9">
        <f>B117*8.75</f>
        <v>5043141.25</v>
      </c>
      <c r="D117" s="5">
        <f>B117*0.2269</f>
        <v>130775.8571</v>
      </c>
      <c r="E117" s="5"/>
    </row>
    <row r="118" spans="1:5" ht="12.75">
      <c r="A118" s="11">
        <v>1619</v>
      </c>
      <c r="B118" s="9">
        <v>620477</v>
      </c>
      <c r="C118" s="9">
        <f>B118*8.75</f>
        <v>5429173.75</v>
      </c>
      <c r="D118" s="5">
        <f>B118*0.2269</f>
        <v>140786.23129999998</v>
      </c>
      <c r="E118" s="5"/>
    </row>
    <row r="119" spans="1:5" ht="12.75">
      <c r="A119" s="11">
        <v>1620</v>
      </c>
      <c r="B119" s="9">
        <v>590760</v>
      </c>
      <c r="C119" s="9">
        <f>B119*8.75</f>
        <v>5169150</v>
      </c>
      <c r="D119" s="5">
        <f>B119*0.2269</f>
        <v>134043.444</v>
      </c>
      <c r="E119" s="5"/>
    </row>
    <row r="120" spans="1:5" ht="12.75">
      <c r="A120" s="11"/>
      <c r="B120" s="9"/>
      <c r="C120" s="9"/>
      <c r="D120" s="5"/>
      <c r="E120" s="5"/>
    </row>
    <row r="121" spans="1:5" ht="12.75">
      <c r="A121" s="11" t="s">
        <v>427</v>
      </c>
      <c r="B121" s="9">
        <f>SUM(B115:B120)/5</f>
        <v>614384.2</v>
      </c>
      <c r="C121" s="9">
        <f>B121*8.75</f>
        <v>5375861.75</v>
      </c>
      <c r="D121" s="5">
        <f>B121*0.2269</f>
        <v>139403.77498</v>
      </c>
      <c r="E121" s="5"/>
    </row>
    <row r="122" spans="1:5" ht="12.75">
      <c r="A122" s="11"/>
      <c r="B122" s="9"/>
      <c r="C122" s="9"/>
      <c r="D122" s="5"/>
      <c r="E122" s="5"/>
    </row>
    <row r="123" spans="1:5" ht="12.75">
      <c r="A123" s="11">
        <v>1621</v>
      </c>
      <c r="B123" s="9">
        <v>605410</v>
      </c>
      <c r="C123" s="9">
        <f>B123*8.75</f>
        <v>5297337.5</v>
      </c>
      <c r="D123" s="5">
        <f>B123*0.2269</f>
        <v>137367.52899999998</v>
      </c>
      <c r="E123" s="5"/>
    </row>
    <row r="124" spans="1:5" ht="12.75">
      <c r="A124" s="11">
        <v>1622</v>
      </c>
      <c r="B124" s="9">
        <v>602892</v>
      </c>
      <c r="C124" s="9">
        <f>B124*8.75</f>
        <v>5275305</v>
      </c>
      <c r="D124" s="5">
        <f>B124*0.2269</f>
        <v>136796.1948</v>
      </c>
      <c r="E124" s="5"/>
    </row>
    <row r="125" spans="1:5" ht="12.75">
      <c r="A125" s="11">
        <v>1623</v>
      </c>
      <c r="B125" s="9">
        <v>597293</v>
      </c>
      <c r="C125" s="9">
        <f>B125*8.75</f>
        <v>5226313.75</v>
      </c>
      <c r="D125" s="5">
        <f>B125*0.2269</f>
        <v>135525.7817</v>
      </c>
      <c r="E125" s="5"/>
    </row>
    <row r="126" spans="1:5" ht="12.75">
      <c r="A126" s="11">
        <v>1624</v>
      </c>
      <c r="B126" s="9">
        <v>599607</v>
      </c>
      <c r="C126" s="9">
        <f>B126*8.75</f>
        <v>5246561.25</v>
      </c>
      <c r="D126" s="5">
        <f>B126*0.2269</f>
        <v>136050.8283</v>
      </c>
      <c r="E126" s="5"/>
    </row>
    <row r="127" spans="1:5" ht="12.75">
      <c r="A127" s="11">
        <v>1625</v>
      </c>
      <c r="B127" s="9">
        <v>565166</v>
      </c>
      <c r="C127" s="9">
        <f>B127*8.75</f>
        <v>4945202.5</v>
      </c>
      <c r="D127" s="5">
        <f>B127*0.2269</f>
        <v>128236.1654</v>
      </c>
      <c r="E127" s="5"/>
    </row>
    <row r="128" spans="1:5" ht="12.75">
      <c r="A128" s="11"/>
      <c r="B128" s="9"/>
      <c r="C128" s="9"/>
      <c r="D128" s="5"/>
      <c r="E128" s="5"/>
    </row>
    <row r="129" spans="1:5" ht="12.75">
      <c r="A129" s="11" t="s">
        <v>427</v>
      </c>
      <c r="B129" s="9">
        <f>SUM(B123:B128)/5</f>
        <v>594073.6</v>
      </c>
      <c r="C129" s="9">
        <f>B129*8.75</f>
        <v>5198144</v>
      </c>
      <c r="D129" s="5">
        <f>B129*0.2269</f>
        <v>134795.29984</v>
      </c>
      <c r="E129" s="5"/>
    </row>
    <row r="130" spans="1:5" ht="12.75">
      <c r="A130" s="11"/>
      <c r="B130" s="9"/>
      <c r="C130" s="9"/>
      <c r="D130" s="5"/>
      <c r="E130" s="5"/>
    </row>
    <row r="131" spans="1:5" ht="12.75">
      <c r="A131" s="11">
        <v>1626</v>
      </c>
      <c r="B131" s="9">
        <v>570171</v>
      </c>
      <c r="C131" s="9">
        <f>B131*8.75</f>
        <v>4988996.25</v>
      </c>
      <c r="D131" s="5">
        <f>B131*0.2269</f>
        <v>129371.7999</v>
      </c>
      <c r="E131" s="5"/>
    </row>
    <row r="132" spans="1:5" ht="12.75">
      <c r="A132" s="11">
        <v>1627</v>
      </c>
      <c r="B132" s="9">
        <v>594682</v>
      </c>
      <c r="C132" s="9">
        <f>B132*8.75</f>
        <v>5203467.5</v>
      </c>
      <c r="D132" s="5">
        <f>B132*0.2269</f>
        <v>134933.34579999998</v>
      </c>
      <c r="E132" s="5"/>
    </row>
    <row r="133" spans="1:5" ht="12.75">
      <c r="A133" s="11">
        <v>1628</v>
      </c>
      <c r="B133" s="9">
        <v>646543</v>
      </c>
      <c r="C133" s="9">
        <f>B133*8.75</f>
        <v>5657251.25</v>
      </c>
      <c r="D133" s="5">
        <f>B133*0.2269</f>
        <v>146700.6067</v>
      </c>
      <c r="E133" s="5"/>
    </row>
    <row r="134" spans="1:5" ht="12.75">
      <c r="A134" s="11">
        <v>1629</v>
      </c>
      <c r="B134" s="9">
        <v>536473</v>
      </c>
      <c r="C134" s="9">
        <f>B134*8.75</f>
        <v>4694138.75</v>
      </c>
      <c r="D134" s="5">
        <f>B134*0.2269</f>
        <v>121725.72369999999</v>
      </c>
      <c r="E134" s="5"/>
    </row>
    <row r="135" spans="1:5" ht="12.75">
      <c r="A135" s="11">
        <v>1630</v>
      </c>
      <c r="B135" s="9">
        <v>530674</v>
      </c>
      <c r="C135" s="9">
        <f>B135*8.75</f>
        <v>4643397.5</v>
      </c>
      <c r="D135" s="5">
        <f>B135*0.2269</f>
        <v>120409.93059999999</v>
      </c>
      <c r="E135" s="5"/>
    </row>
    <row r="136" spans="1:5" ht="12.75">
      <c r="A136" s="11"/>
      <c r="B136" s="9"/>
      <c r="C136" s="9"/>
      <c r="D136" s="5"/>
      <c r="E136" s="5"/>
    </row>
    <row r="137" spans="1:5" ht="12.75">
      <c r="A137" s="11" t="s">
        <v>427</v>
      </c>
      <c r="B137" s="9">
        <f>SUM(B131:B136)/5</f>
        <v>575708.6</v>
      </c>
      <c r="C137" s="9">
        <f>B137*8.75</f>
        <v>5037450.25</v>
      </c>
      <c r="D137" s="5">
        <f>B137*0.2269</f>
        <v>130628.28133999999</v>
      </c>
      <c r="E137" s="5"/>
    </row>
    <row r="138" spans="1:5" ht="12.75">
      <c r="A138" s="11"/>
      <c r="B138" s="9"/>
      <c r="C138" s="9"/>
      <c r="D138" s="5"/>
      <c r="E138" s="5"/>
    </row>
    <row r="139" spans="1:5" ht="12.75">
      <c r="A139" s="11">
        <v>1631</v>
      </c>
      <c r="B139" s="9">
        <v>588443</v>
      </c>
      <c r="C139" s="9">
        <f>B139*8.75</f>
        <v>5148876.25</v>
      </c>
      <c r="D139" s="5">
        <f>B139*0.2269</f>
        <v>133517.7167</v>
      </c>
      <c r="E139" s="5"/>
    </row>
    <row r="140" spans="1:5" ht="12.75">
      <c r="A140" s="11">
        <v>1632</v>
      </c>
      <c r="B140" s="9">
        <v>531843</v>
      </c>
      <c r="C140" s="9">
        <f>B140*8.75</f>
        <v>4653626.25</v>
      </c>
      <c r="D140" s="5">
        <f>B140*0.2269</f>
        <v>120675.1767</v>
      </c>
      <c r="E140" s="5"/>
    </row>
    <row r="141" spans="1:5" ht="12.75">
      <c r="A141" s="11">
        <v>1633</v>
      </c>
      <c r="B141" s="9">
        <v>553670</v>
      </c>
      <c r="C141" s="9">
        <f>B141*8.75</f>
        <v>4844612.5</v>
      </c>
      <c r="D141" s="5">
        <f>B141*0.2269</f>
        <v>125627.723</v>
      </c>
      <c r="E141" s="5"/>
    </row>
    <row r="142" spans="1:5" ht="12.75">
      <c r="A142" s="11">
        <v>1634</v>
      </c>
      <c r="B142" s="9">
        <v>542919</v>
      </c>
      <c r="C142" s="9">
        <f>B142*8.75</f>
        <v>4750541.25</v>
      </c>
      <c r="D142" s="5">
        <f>B142*0.2269</f>
        <v>123188.3211</v>
      </c>
      <c r="E142" s="5"/>
    </row>
    <row r="143" spans="1:5" ht="12.75">
      <c r="A143" s="11">
        <v>1635</v>
      </c>
      <c r="B143" s="9">
        <v>521507</v>
      </c>
      <c r="C143" s="9">
        <f>B143*8.75</f>
        <v>4563186.25</v>
      </c>
      <c r="D143" s="5">
        <f>B143*0.2269</f>
        <v>118329.9383</v>
      </c>
      <c r="E143" s="5"/>
    </row>
    <row r="144" spans="1:5" ht="12.75">
      <c r="A144" s="11"/>
      <c r="B144" s="9"/>
      <c r="C144" s="9"/>
      <c r="D144" s="5"/>
      <c r="E144" s="5"/>
    </row>
    <row r="145" spans="1:5" ht="12.75">
      <c r="A145" s="11" t="s">
        <v>427</v>
      </c>
      <c r="B145" s="9">
        <f>SUM(B139:B144)/5</f>
        <v>547676.4</v>
      </c>
      <c r="C145" s="9">
        <f>B145*8.75</f>
        <v>4792168.5</v>
      </c>
      <c r="D145" s="5">
        <f>B145*0.2269</f>
        <v>124267.77516</v>
      </c>
      <c r="E145" s="5"/>
    </row>
    <row r="146" spans="1:5" ht="12.75">
      <c r="A146" s="11"/>
      <c r="B146" s="9"/>
      <c r="C146" s="9"/>
      <c r="D146" s="5"/>
      <c r="E146" s="5"/>
    </row>
    <row r="147" spans="1:5" ht="12.75">
      <c r="A147" s="11">
        <v>1636</v>
      </c>
      <c r="B147" s="9">
        <v>793596</v>
      </c>
      <c r="C147" s="9">
        <f>B147*8.75</f>
        <v>6943965</v>
      </c>
      <c r="D147" s="5">
        <f>B147*0.2269</f>
        <v>180066.9324</v>
      </c>
      <c r="E147" s="5"/>
    </row>
    <row r="148" spans="1:5" ht="12.75">
      <c r="A148" s="11">
        <v>1637</v>
      </c>
      <c r="B148" s="9">
        <v>656372</v>
      </c>
      <c r="C148" s="9">
        <f>B148*8.75</f>
        <v>5743255</v>
      </c>
      <c r="D148" s="5">
        <f>B148*0.2269</f>
        <v>148930.8068</v>
      </c>
      <c r="E148" s="5"/>
    </row>
    <row r="149" spans="1:5" ht="12.75">
      <c r="A149" s="11">
        <v>1638</v>
      </c>
      <c r="B149" s="9">
        <v>647669</v>
      </c>
      <c r="C149" s="9">
        <f>B149*8.75</f>
        <v>5667103.75</v>
      </c>
      <c r="D149" s="5">
        <f>B149*0.2269</f>
        <v>146956.0961</v>
      </c>
      <c r="E149" s="5"/>
    </row>
    <row r="150" spans="1:5" ht="12.75">
      <c r="A150" s="11">
        <v>1639</v>
      </c>
      <c r="B150" s="9">
        <v>616173</v>
      </c>
      <c r="C150" s="9">
        <f>B150*8.75</f>
        <v>5391513.75</v>
      </c>
      <c r="D150" s="5">
        <f>B150*0.2269</f>
        <v>139809.6537</v>
      </c>
      <c r="E150" s="5"/>
    </row>
    <row r="151" spans="1:5" ht="12.75">
      <c r="A151" s="11">
        <v>1640</v>
      </c>
      <c r="B151" s="9">
        <v>539767</v>
      </c>
      <c r="C151" s="9">
        <f>B151*8.75</f>
        <v>4722961.25</v>
      </c>
      <c r="D151" s="5">
        <f>B151*0.2269</f>
        <v>122473.1323</v>
      </c>
      <c r="E151" s="5"/>
    </row>
    <row r="152" spans="1:5" ht="12.75">
      <c r="A152" s="11"/>
      <c r="B152" s="9"/>
      <c r="C152" s="9"/>
      <c r="D152" s="5"/>
      <c r="E152" s="5"/>
    </row>
    <row r="153" spans="1:5" ht="12.75">
      <c r="A153" s="11" t="s">
        <v>427</v>
      </c>
      <c r="B153" s="9">
        <f>SUM(B147:B152)/5</f>
        <v>650715.4</v>
      </c>
      <c r="C153" s="9">
        <f>B153*8.75</f>
        <v>5693759.75</v>
      </c>
      <c r="D153" s="5">
        <f>B153*0.2269</f>
        <v>147647.32426</v>
      </c>
      <c r="E153" s="5"/>
    </row>
    <row r="154" spans="1:5" ht="12.75">
      <c r="A154" s="11"/>
      <c r="B154" s="9"/>
      <c r="C154" s="9"/>
      <c r="D154" s="5"/>
      <c r="E154" s="5"/>
    </row>
    <row r="155" spans="1:5" ht="12.75">
      <c r="A155" s="11">
        <v>1641</v>
      </c>
      <c r="B155" s="9">
        <v>518606</v>
      </c>
      <c r="C155" s="9">
        <f>B155*8.75</f>
        <v>4537802.5</v>
      </c>
      <c r="D155" s="5">
        <f>B155*0.2269</f>
        <v>117671.70139999999</v>
      </c>
      <c r="E155" s="5"/>
    </row>
    <row r="156" spans="1:5" ht="12.75">
      <c r="A156" s="11">
        <v>1642</v>
      </c>
      <c r="B156" s="9">
        <v>499688</v>
      </c>
      <c r="C156" s="9">
        <f>B156*8.75</f>
        <v>4372270</v>
      </c>
      <c r="D156" s="5">
        <f>B156*0.2269</f>
        <v>113379.20719999999</v>
      </c>
      <c r="E156" s="5"/>
    </row>
    <row r="157" spans="1:5" ht="12.75">
      <c r="A157" s="11">
        <v>1643</v>
      </c>
      <c r="B157" s="9">
        <v>510007</v>
      </c>
      <c r="C157" s="9">
        <f>B157*8.75</f>
        <v>4462561.25</v>
      </c>
      <c r="D157" s="5">
        <f>B157*0.2269</f>
        <v>115720.58829999999</v>
      </c>
      <c r="E157" s="5"/>
    </row>
    <row r="158" spans="1:5" ht="12.75">
      <c r="A158" s="11">
        <v>1644</v>
      </c>
      <c r="B158" s="9">
        <v>475134</v>
      </c>
      <c r="C158" s="9">
        <f>B158*8.75</f>
        <v>4157422.5</v>
      </c>
      <c r="D158" s="5">
        <f>B158*0.2269</f>
        <v>107807.9046</v>
      </c>
      <c r="E158" s="5"/>
    </row>
    <row r="159" spans="1:5" ht="12.75">
      <c r="A159" s="11">
        <v>1645</v>
      </c>
      <c r="B159" s="9">
        <v>500892</v>
      </c>
      <c r="C159" s="9">
        <f>B159*8.75</f>
        <v>4382805</v>
      </c>
      <c r="D159" s="5">
        <f>B159*0.2269</f>
        <v>113652.3948</v>
      </c>
      <c r="E159" s="5"/>
    </row>
    <row r="160" spans="1:5" ht="12.75">
      <c r="A160" s="11"/>
      <c r="B160" s="9"/>
      <c r="C160" s="9"/>
      <c r="D160" s="5"/>
      <c r="E160" s="5"/>
    </row>
    <row r="161" spans="1:5" ht="12.75">
      <c r="A161" s="11" t="s">
        <v>427</v>
      </c>
      <c r="B161" s="9">
        <f>SUM(B155:B160)/5</f>
        <v>500865.4</v>
      </c>
      <c r="C161" s="9">
        <f>B161*8.75</f>
        <v>4382572.25</v>
      </c>
      <c r="D161" s="5">
        <f>B161*0.2269</f>
        <v>113646.35926</v>
      </c>
      <c r="E161" s="5"/>
    </row>
    <row r="162" spans="1:5" ht="12.75">
      <c r="A162" s="11"/>
      <c r="B162" s="9"/>
      <c r="C162" s="9"/>
      <c r="D162" s="5"/>
      <c r="E162" s="5"/>
    </row>
    <row r="163" spans="1:5" ht="12.75">
      <c r="A163" s="11">
        <v>1646</v>
      </c>
      <c r="B163" s="9">
        <v>463799</v>
      </c>
      <c r="C163" s="9">
        <f>B163*8.75</f>
        <v>4058241.25</v>
      </c>
      <c r="D163" s="5">
        <f>B163*0.2269</f>
        <v>105235.99309999999</v>
      </c>
      <c r="E163" s="5"/>
    </row>
    <row r="164" spans="1:5" ht="12.75">
      <c r="A164" s="11">
        <v>1647</v>
      </c>
      <c r="B164" s="9">
        <v>491448</v>
      </c>
      <c r="C164" s="9">
        <f>B164*8.75</f>
        <v>4300170</v>
      </c>
      <c r="D164" s="5">
        <f>B164*0.2269</f>
        <v>111509.5512</v>
      </c>
      <c r="E164" s="5"/>
    </row>
    <row r="165" spans="1:5" ht="12.75">
      <c r="A165" s="11">
        <v>1648</v>
      </c>
      <c r="B165" s="9">
        <v>619543</v>
      </c>
      <c r="C165" s="9">
        <f>B165*8.75</f>
        <v>5421001.25</v>
      </c>
      <c r="D165" s="5">
        <f>B165*0.2269</f>
        <v>140574.3067</v>
      </c>
      <c r="E165" s="5"/>
    </row>
    <row r="166" spans="1:5" ht="12.75">
      <c r="A166" s="11">
        <v>1649</v>
      </c>
      <c r="B166" s="9">
        <v>589702</v>
      </c>
      <c r="C166" s="9">
        <f>B166*8.75</f>
        <v>5159892.5</v>
      </c>
      <c r="D166" s="5">
        <f>B166*0.2269</f>
        <v>133803.38379999998</v>
      </c>
      <c r="E166" s="5"/>
    </row>
    <row r="167" spans="1:5" ht="12.75">
      <c r="A167" s="11">
        <v>1650</v>
      </c>
      <c r="B167" s="9">
        <v>506125</v>
      </c>
      <c r="C167" s="9">
        <f>B167*8.75</f>
        <v>4428593.75</v>
      </c>
      <c r="D167" s="5">
        <f>B167*0.2269</f>
        <v>114839.7625</v>
      </c>
      <c r="E167" s="5"/>
    </row>
    <row r="168" spans="1:5" ht="12.75">
      <c r="A168" s="11"/>
      <c r="B168" s="9"/>
      <c r="C168" s="9"/>
      <c r="D168" s="5"/>
      <c r="E168" s="5"/>
    </row>
    <row r="169" spans="1:5" ht="12.75">
      <c r="A169" s="11" t="s">
        <v>427</v>
      </c>
      <c r="B169" s="9">
        <f>SUM(B163:B168)/5</f>
        <v>534123.4</v>
      </c>
      <c r="C169" s="9">
        <f>B169*8.75</f>
        <v>4673579.75</v>
      </c>
      <c r="D169" s="5">
        <f>B169*0.2269</f>
        <v>121192.59946</v>
      </c>
      <c r="E169" s="5"/>
    </row>
    <row r="170" spans="1:5" ht="12.75">
      <c r="A170" s="11"/>
      <c r="B170" s="9"/>
      <c r="C170" s="9"/>
      <c r="D170" s="5"/>
      <c r="E170" s="5"/>
    </row>
    <row r="171" spans="1:5" ht="12.75">
      <c r="A171" s="11">
        <v>1651</v>
      </c>
      <c r="B171" s="9">
        <v>424745</v>
      </c>
      <c r="C171" s="9">
        <f>B171*8.75</f>
        <v>3716518.75</v>
      </c>
      <c r="D171" s="5">
        <f>B171*0.2269</f>
        <v>96374.6405</v>
      </c>
      <c r="E171" s="5"/>
    </row>
    <row r="172" spans="1:5" ht="12.75">
      <c r="A172" s="11">
        <v>1652</v>
      </c>
      <c r="B172" s="9">
        <v>441937</v>
      </c>
      <c r="C172" s="9">
        <f>B172*8.75</f>
        <v>3866948.75</v>
      </c>
      <c r="D172" s="5">
        <f>B172*0.2269</f>
        <v>100275.50529999999</v>
      </c>
      <c r="E172" s="5"/>
    </row>
    <row r="173" spans="1:5" ht="12.75">
      <c r="A173" s="11">
        <v>1653</v>
      </c>
      <c r="B173" s="9">
        <v>428486</v>
      </c>
      <c r="C173" s="9">
        <f>B173*8.75</f>
        <v>3749252.5</v>
      </c>
      <c r="D173" s="5">
        <f>B173*0.2269</f>
        <v>97223.4734</v>
      </c>
      <c r="E173" s="5"/>
    </row>
    <row r="174" spans="1:5" ht="12.75">
      <c r="A174" s="11">
        <v>1654</v>
      </c>
      <c r="B174" s="9">
        <v>469416</v>
      </c>
      <c r="C174" s="9">
        <f>B174*8.75</f>
        <v>4107390</v>
      </c>
      <c r="D174" s="5">
        <f>B174*0.2269</f>
        <v>106510.4904</v>
      </c>
      <c r="E174" s="5"/>
    </row>
    <row r="175" spans="1:5" ht="12.75">
      <c r="A175" s="11">
        <v>1655</v>
      </c>
      <c r="B175" s="9">
        <v>425172</v>
      </c>
      <c r="C175" s="9">
        <f>B175*8.75</f>
        <v>3720255</v>
      </c>
      <c r="D175" s="5">
        <f>B175*0.2269</f>
        <v>96471.52679999999</v>
      </c>
      <c r="E175" s="5"/>
    </row>
    <row r="176" spans="1:5" ht="12.75">
      <c r="A176" s="11"/>
      <c r="B176" s="9"/>
      <c r="C176" s="9"/>
      <c r="D176" s="5"/>
      <c r="E176" s="5"/>
    </row>
    <row r="177" spans="1:5" ht="12.75">
      <c r="A177" s="11" t="s">
        <v>427</v>
      </c>
      <c r="B177" s="9">
        <f>SUM(B171:B176)/5</f>
        <v>437951.2</v>
      </c>
      <c r="C177" s="9">
        <f>B177*8.75</f>
        <v>3832073</v>
      </c>
      <c r="D177" s="5">
        <f>B177*0.2269</f>
        <v>99371.12728</v>
      </c>
      <c r="E177" s="5"/>
    </row>
    <row r="178" spans="1:5" ht="12.75">
      <c r="A178" s="11"/>
      <c r="B178" s="9"/>
      <c r="C178" s="9"/>
      <c r="D178" s="5"/>
      <c r="E178" s="5"/>
    </row>
    <row r="179" spans="1:5" ht="12.75">
      <c r="A179" s="11">
        <v>1656</v>
      </c>
      <c r="B179" s="9">
        <v>451966</v>
      </c>
      <c r="C179" s="9">
        <f>B179*8.75</f>
        <v>3954702.5</v>
      </c>
      <c r="D179" s="5">
        <f>B179*0.2269</f>
        <v>102551.0854</v>
      </c>
      <c r="E179" s="5"/>
    </row>
    <row r="180" spans="1:5" ht="12.75">
      <c r="A180" s="11">
        <v>1657</v>
      </c>
      <c r="B180" s="9">
        <v>523604</v>
      </c>
      <c r="C180" s="9">
        <f>B180*8.75</f>
        <v>4581535</v>
      </c>
      <c r="D180" s="5">
        <f>B180*0.2269</f>
        <v>118805.74759999999</v>
      </c>
      <c r="E180" s="5"/>
    </row>
    <row r="181" spans="1:5" ht="12.75">
      <c r="A181" s="11">
        <v>1658</v>
      </c>
      <c r="B181" s="9">
        <v>493460</v>
      </c>
      <c r="C181" s="9">
        <f>B181*8.75</f>
        <v>4317775</v>
      </c>
      <c r="D181" s="5">
        <f>B181*0.2269</f>
        <v>111966.074</v>
      </c>
      <c r="E181" s="5"/>
    </row>
    <row r="182" spans="1:5" ht="12.75">
      <c r="A182" s="11">
        <v>1659</v>
      </c>
      <c r="B182" s="9">
        <v>449459</v>
      </c>
      <c r="C182" s="9">
        <f>B182*8.75</f>
        <v>3932766.25</v>
      </c>
      <c r="D182" s="5">
        <f>B182*0.2269</f>
        <v>101982.2471</v>
      </c>
      <c r="E182" s="5"/>
    </row>
    <row r="183" spans="1:5" ht="12.75">
      <c r="A183" s="11">
        <v>1660</v>
      </c>
      <c r="B183" s="9">
        <v>366897</v>
      </c>
      <c r="C183" s="9">
        <f>B183*8.75</f>
        <v>3210348.75</v>
      </c>
      <c r="D183" s="5">
        <f>B183*0.2269</f>
        <v>83248.9293</v>
      </c>
      <c r="E183" s="5"/>
    </row>
    <row r="184" spans="1:5" ht="12.75">
      <c r="A184" s="11"/>
      <c r="B184" s="9"/>
      <c r="C184" s="9"/>
      <c r="D184" s="5"/>
      <c r="E184" s="5"/>
    </row>
    <row r="185" spans="1:5" ht="12.75">
      <c r="A185" s="11" t="s">
        <v>427</v>
      </c>
      <c r="B185" s="9">
        <f>SUM(B179:B184)/5</f>
        <v>457077.2</v>
      </c>
      <c r="C185" s="9">
        <f>B185*8.75</f>
        <v>3999425.5</v>
      </c>
      <c r="D185" s="5">
        <f>B185*0.2269</f>
        <v>103710.81668</v>
      </c>
      <c r="E185" s="5"/>
    </row>
    <row r="186" spans="1:5" ht="12.75">
      <c r="A186" s="11"/>
      <c r="B186" s="9"/>
      <c r="C186" s="9"/>
      <c r="D186" s="5"/>
      <c r="E186" s="5"/>
    </row>
    <row r="187" spans="1:5" ht="12.75">
      <c r="A187" s="11">
        <v>1661</v>
      </c>
      <c r="B187" s="9">
        <v>350328</v>
      </c>
      <c r="C187" s="9">
        <f>B187*8.75</f>
        <v>3065370</v>
      </c>
      <c r="D187" s="5">
        <f>B187*0.2269</f>
        <v>79489.42319999999</v>
      </c>
      <c r="E187" s="5"/>
    </row>
    <row r="188" spans="1:5" ht="12.75">
      <c r="A188" s="11">
        <v>1662</v>
      </c>
      <c r="B188" s="9">
        <v>358713</v>
      </c>
      <c r="C188" s="9">
        <f>B188*8.75</f>
        <v>3138738.75</v>
      </c>
      <c r="D188" s="5">
        <f>B188*0.2269</f>
        <v>81391.9797</v>
      </c>
      <c r="E188" s="5"/>
    </row>
    <row r="189" spans="1:5" ht="12.75">
      <c r="A189" s="11">
        <v>1663</v>
      </c>
      <c r="B189" s="9">
        <v>321889</v>
      </c>
      <c r="C189" s="9">
        <f>B189*8.75</f>
        <v>2816528.75</v>
      </c>
      <c r="D189" s="5">
        <f>B189*0.2269</f>
        <v>73036.61409999999</v>
      </c>
      <c r="E189" s="5"/>
    </row>
    <row r="190" spans="1:5" ht="12.75">
      <c r="A190" s="11">
        <v>1664</v>
      </c>
      <c r="B190" s="9">
        <v>340322</v>
      </c>
      <c r="C190" s="9">
        <f>B190*8.75</f>
        <v>2977817.5</v>
      </c>
      <c r="D190" s="5">
        <f>B190*0.2269</f>
        <v>77219.0618</v>
      </c>
      <c r="E190" s="5"/>
    </row>
    <row r="191" spans="1:5" ht="12.75">
      <c r="A191" s="11">
        <v>1665</v>
      </c>
      <c r="B191" s="9">
        <v>368487</v>
      </c>
      <c r="C191" s="9">
        <f>B191*8.75</f>
        <v>3224261.25</v>
      </c>
      <c r="D191" s="5">
        <f>B191*0.2269</f>
        <v>83609.7003</v>
      </c>
      <c r="E191" s="5"/>
    </row>
    <row r="192" spans="1:5" ht="12.75">
      <c r="A192" s="11"/>
      <c r="B192" s="9"/>
      <c r="C192" s="9"/>
      <c r="D192" s="5"/>
      <c r="E192" s="5"/>
    </row>
    <row r="193" spans="1:5" ht="12.75">
      <c r="A193" s="11" t="s">
        <v>427</v>
      </c>
      <c r="B193" s="9">
        <f>SUM(B187:B192)/5</f>
        <v>347947.8</v>
      </c>
      <c r="C193" s="9">
        <f>B193*8.75</f>
        <v>3044543.25</v>
      </c>
      <c r="D193" s="5">
        <f>B193*0.2269</f>
        <v>78949.35582</v>
      </c>
      <c r="E193" s="5"/>
    </row>
    <row r="194" spans="1:5" ht="12.75">
      <c r="A194" s="11"/>
      <c r="B194" s="9"/>
      <c r="C194" s="9"/>
      <c r="D194" s="5"/>
      <c r="E194" s="5"/>
    </row>
    <row r="195" spans="1:5" ht="12.75">
      <c r="A195" s="11">
        <v>1666</v>
      </c>
      <c r="B195" s="9">
        <v>379825</v>
      </c>
      <c r="C195" s="9">
        <f>B195*8.75</f>
        <v>3323468.75</v>
      </c>
      <c r="D195" s="5">
        <f>B195*0.2269</f>
        <v>86182.2925</v>
      </c>
      <c r="E195" s="5"/>
    </row>
    <row r="196" spans="1:5" ht="12.75">
      <c r="A196" s="11">
        <v>1667</v>
      </c>
      <c r="B196" s="9">
        <v>398459</v>
      </c>
      <c r="C196" s="9">
        <f>B196*8.75</f>
        <v>3486516.25</v>
      </c>
      <c r="D196" s="5">
        <f>B196*0.2269</f>
        <v>90410.3471</v>
      </c>
      <c r="E196" s="5"/>
    </row>
    <row r="197" spans="1:5" ht="12.75">
      <c r="A197" s="11">
        <v>1668</v>
      </c>
      <c r="B197" s="9">
        <v>388507</v>
      </c>
      <c r="C197" s="9">
        <f>B197*8.75</f>
        <v>3399436.25</v>
      </c>
      <c r="D197" s="5">
        <f>B197*0.2269</f>
        <v>88152.2383</v>
      </c>
      <c r="E197" s="5"/>
    </row>
    <row r="198" spans="1:5" ht="12.75">
      <c r="A198" s="11">
        <v>1669</v>
      </c>
      <c r="B198" s="9">
        <v>350821</v>
      </c>
      <c r="C198" s="9">
        <f>B198*8.75</f>
        <v>3069683.75</v>
      </c>
      <c r="D198" s="5">
        <f>B198*0.2269</f>
        <v>79601.2849</v>
      </c>
      <c r="E198" s="5"/>
    </row>
    <row r="199" spans="1:5" ht="12.75">
      <c r="A199" s="11">
        <v>1670</v>
      </c>
      <c r="B199" s="9">
        <v>311747</v>
      </c>
      <c r="C199" s="9">
        <f>B199*8.75</f>
        <v>2727786.25</v>
      </c>
      <c r="D199" s="5">
        <f>B199*0.2269</f>
        <v>70735.3943</v>
      </c>
      <c r="E199" s="5"/>
    </row>
    <row r="200" spans="1:5" ht="12.75">
      <c r="A200" s="11"/>
      <c r="B200" s="9"/>
      <c r="C200" s="9"/>
      <c r="D200" s="5"/>
      <c r="E200" s="5"/>
    </row>
    <row r="201" spans="1:5" ht="12.75">
      <c r="A201" s="11" t="s">
        <v>427</v>
      </c>
      <c r="B201" s="9">
        <f>SUM(B195:B200)/5</f>
        <v>365871.8</v>
      </c>
      <c r="C201" s="9">
        <f>B201*8.75</f>
        <v>3201378.25</v>
      </c>
      <c r="D201" s="5">
        <f>B201*0.2269</f>
        <v>83016.31142</v>
      </c>
      <c r="E201" s="5"/>
    </row>
    <row r="202" spans="1:5" ht="12.75">
      <c r="A202" s="11"/>
      <c r="B202" s="9"/>
      <c r="C202" s="9"/>
      <c r="D202" s="5"/>
      <c r="E202" s="5"/>
    </row>
    <row r="203" spans="1:5" ht="12.75">
      <c r="A203" s="11">
        <v>1671</v>
      </c>
      <c r="B203" s="9">
        <v>378289</v>
      </c>
      <c r="C203" s="9">
        <f>B203*8.75</f>
        <v>3310028.75</v>
      </c>
      <c r="D203" s="5">
        <f>B203*0.2269</f>
        <v>85833.7741</v>
      </c>
      <c r="E203" s="5"/>
    </row>
    <row r="204" spans="1:5" ht="12.75">
      <c r="A204" s="11">
        <v>1672</v>
      </c>
      <c r="B204" s="9">
        <v>350770</v>
      </c>
      <c r="C204" s="9">
        <f>B204*8.75</f>
        <v>3069237.5</v>
      </c>
      <c r="D204" s="5">
        <f>B204*0.2269</f>
        <v>79589.713</v>
      </c>
      <c r="E204" s="5"/>
    </row>
    <row r="205" spans="1:5" ht="12.75">
      <c r="A205" s="11">
        <v>1673</v>
      </c>
      <c r="B205" s="9">
        <v>380434</v>
      </c>
      <c r="C205" s="9">
        <f>B205*8.75</f>
        <v>3328797.5</v>
      </c>
      <c r="D205" s="5">
        <f>B205*0.2269</f>
        <v>86320.4746</v>
      </c>
      <c r="E205" s="5"/>
    </row>
    <row r="206" spans="1:5" ht="12.75">
      <c r="A206" s="11">
        <v>1674</v>
      </c>
      <c r="B206" s="9">
        <v>378683</v>
      </c>
      <c r="C206" s="9">
        <f>B206*8.75</f>
        <v>3313476.25</v>
      </c>
      <c r="D206" s="5">
        <f>B206*0.2269</f>
        <v>85923.1727</v>
      </c>
      <c r="E206" s="5"/>
    </row>
    <row r="207" spans="1:5" ht="12.75">
      <c r="A207" s="11">
        <v>1675</v>
      </c>
      <c r="B207" s="9">
        <v>319174</v>
      </c>
      <c r="C207" s="9">
        <f>B207*8.75</f>
        <v>2792772.5</v>
      </c>
      <c r="D207" s="5">
        <f>B207*0.2269</f>
        <v>72420.5806</v>
      </c>
      <c r="E207" s="5"/>
    </row>
    <row r="208" spans="1:5" ht="12.75">
      <c r="A208" s="11"/>
      <c r="B208" s="9"/>
      <c r="C208" s="9"/>
      <c r="D208" s="5"/>
      <c r="E208" s="5"/>
    </row>
    <row r="209" spans="1:5" ht="12.75">
      <c r="A209" s="11" t="s">
        <v>427</v>
      </c>
      <c r="B209" s="9">
        <f>SUM(B203:B208)/5</f>
        <v>361470</v>
      </c>
      <c r="C209" s="9">
        <f>B209*8.75</f>
        <v>3162862.5</v>
      </c>
      <c r="D209" s="5">
        <f>B209*0.2269</f>
        <v>82017.54299999999</v>
      </c>
      <c r="E209" s="5"/>
    </row>
    <row r="210" spans="1:5" ht="12.75">
      <c r="A210" s="11"/>
      <c r="B210" s="9"/>
      <c r="C210" s="9"/>
      <c r="D210" s="5"/>
      <c r="E210" s="5"/>
    </row>
    <row r="211" spans="1:5" ht="12.75">
      <c r="A211" s="11">
        <v>1676</v>
      </c>
      <c r="B211" s="9">
        <v>289216</v>
      </c>
      <c r="C211" s="9">
        <f>B211*8.75</f>
        <v>2530640</v>
      </c>
      <c r="D211" s="5">
        <f>B211*0.2269</f>
        <v>65623.11039999999</v>
      </c>
      <c r="E211" s="5"/>
    </row>
    <row r="212" spans="1:5" ht="12.75">
      <c r="A212" s="11">
        <v>1677</v>
      </c>
      <c r="B212" s="9">
        <v>309209</v>
      </c>
      <c r="C212" s="9">
        <f>B212*8.75</f>
        <v>2705578.75</v>
      </c>
      <c r="D212" s="5">
        <f>B212*0.2269</f>
        <v>70159.5221</v>
      </c>
      <c r="E212" s="5"/>
    </row>
    <row r="213" spans="1:5" ht="12.75">
      <c r="A213" s="11">
        <v>1678</v>
      </c>
      <c r="B213" s="9">
        <v>367087</v>
      </c>
      <c r="C213" s="9">
        <f>B213*8.75</f>
        <v>3212011.25</v>
      </c>
      <c r="D213" s="5">
        <f>B213*0.2269</f>
        <v>83292.0403</v>
      </c>
      <c r="E213" s="5"/>
    </row>
    <row r="214" spans="1:5" ht="12.75">
      <c r="A214" s="11">
        <v>1679</v>
      </c>
      <c r="B214" s="9">
        <v>350172</v>
      </c>
      <c r="C214" s="9">
        <f>B214*8.75</f>
        <v>3064005</v>
      </c>
      <c r="D214" s="5">
        <f>B214*0.2269</f>
        <v>79454.02679999999</v>
      </c>
      <c r="E214" s="5"/>
    </row>
    <row r="215" spans="1:5" ht="12.75">
      <c r="A215" s="11">
        <v>1680</v>
      </c>
      <c r="B215" s="9">
        <v>353711</v>
      </c>
      <c r="C215" s="9">
        <f>B215*8.75</f>
        <v>3094971.25</v>
      </c>
      <c r="D215" s="5">
        <f>B215*0.2269</f>
        <v>80257.0259</v>
      </c>
      <c r="E215" s="5"/>
    </row>
    <row r="216" spans="1:5" ht="12.75">
      <c r="A216" s="11"/>
      <c r="B216" s="9"/>
      <c r="C216" s="9"/>
      <c r="D216" s="5"/>
      <c r="E216" s="5"/>
    </row>
    <row r="217" spans="1:5" ht="12.75">
      <c r="A217" s="11" t="s">
        <v>427</v>
      </c>
      <c r="B217" s="9">
        <f>SUM(B211:B216)/5</f>
        <v>333879</v>
      </c>
      <c r="C217" s="9">
        <f>B217*8.75</f>
        <v>2921441.25</v>
      </c>
      <c r="D217" s="5">
        <f>B217*0.2269</f>
        <v>75757.1451</v>
      </c>
      <c r="E217" s="5"/>
    </row>
    <row r="218" spans="1:5" ht="12.75">
      <c r="A218" s="11"/>
      <c r="B218" s="9"/>
      <c r="C218" s="9"/>
      <c r="D218" s="5"/>
      <c r="E218" s="5"/>
    </row>
    <row r="219" spans="1:5" ht="12.75">
      <c r="A219" s="11">
        <v>1681</v>
      </c>
      <c r="B219" s="9">
        <v>385481</v>
      </c>
      <c r="C219" s="9">
        <f>B219*8.75</f>
        <v>3372958.75</v>
      </c>
      <c r="D219" s="5">
        <f>B219*0.2269</f>
        <v>87465.63889999999</v>
      </c>
      <c r="E219" s="5"/>
    </row>
    <row r="220" spans="1:5" ht="12.75">
      <c r="A220" s="11">
        <v>1682</v>
      </c>
      <c r="B220" s="9">
        <v>370614</v>
      </c>
      <c r="C220" s="9">
        <f>B220*8.75</f>
        <v>3242872.5</v>
      </c>
      <c r="D220" s="5">
        <f>B220*0.2269</f>
        <v>84092.31659999999</v>
      </c>
      <c r="E220" s="5"/>
    </row>
    <row r="221" spans="1:5" ht="12.75">
      <c r="A221" s="11">
        <v>1683</v>
      </c>
      <c r="B221" s="9">
        <v>411230</v>
      </c>
      <c r="C221" s="9">
        <f>B221*8.75</f>
        <v>3598262.5</v>
      </c>
      <c r="D221" s="5">
        <f>B221*0.2269</f>
        <v>93308.087</v>
      </c>
      <c r="E221" s="5"/>
    </row>
    <row r="222" spans="1:5" ht="12.75">
      <c r="A222" s="11">
        <v>1684</v>
      </c>
      <c r="B222" s="9">
        <v>409328</v>
      </c>
      <c r="C222" s="9">
        <f>B222*8.75</f>
        <v>3581620</v>
      </c>
      <c r="D222" s="5">
        <f>B222*0.2269</f>
        <v>92876.5232</v>
      </c>
      <c r="E222" s="5"/>
    </row>
    <row r="223" spans="1:5" ht="12.75">
      <c r="A223" s="11">
        <v>1685</v>
      </c>
      <c r="B223" s="9">
        <v>366513</v>
      </c>
      <c r="C223" s="9">
        <f>B223*8.75</f>
        <v>3206988.75</v>
      </c>
      <c r="D223" s="5">
        <f>B223*0.2269</f>
        <v>83161.7997</v>
      </c>
      <c r="E223" s="5"/>
    </row>
    <row r="224" spans="1:5" ht="12.75">
      <c r="A224" s="11"/>
      <c r="B224" s="9"/>
      <c r="C224" s="9"/>
      <c r="D224" s="5"/>
      <c r="E224" s="5"/>
    </row>
    <row r="225" spans="1:5" ht="12.75">
      <c r="A225" s="11" t="s">
        <v>427</v>
      </c>
      <c r="B225" s="9">
        <f>SUM(B219:B224)/5</f>
        <v>388633.2</v>
      </c>
      <c r="C225" s="9">
        <f>B225*8.75</f>
        <v>3400540.5</v>
      </c>
      <c r="D225" s="5">
        <f>B225*0.2269</f>
        <v>88180.87308</v>
      </c>
      <c r="E225" s="5"/>
    </row>
    <row r="226" spans="1:5" ht="12.75">
      <c r="A226" s="11"/>
      <c r="B226" s="9"/>
      <c r="C226" s="9"/>
      <c r="D226" s="5"/>
      <c r="E226" s="5"/>
    </row>
    <row r="227" spans="1:5" ht="12.75">
      <c r="A227" s="11">
        <v>1686</v>
      </c>
      <c r="B227" s="9">
        <v>326904</v>
      </c>
      <c r="C227" s="9">
        <f>B227*8.75</f>
        <v>2860410</v>
      </c>
      <c r="D227" s="5">
        <f>B227*0.2269</f>
        <v>74174.51759999999</v>
      </c>
      <c r="E227" s="5"/>
    </row>
    <row r="228" spans="1:5" ht="12.75">
      <c r="A228" s="11">
        <v>1687</v>
      </c>
      <c r="B228" s="9">
        <v>360472</v>
      </c>
      <c r="C228" s="9">
        <f>B228*8.75</f>
        <v>3154130</v>
      </c>
      <c r="D228" s="5">
        <f>B228*0.2269</f>
        <v>81791.0968</v>
      </c>
      <c r="E228" s="5"/>
    </row>
    <row r="229" spans="1:5" ht="12.75">
      <c r="A229" s="11">
        <v>1688</v>
      </c>
      <c r="B229" s="9">
        <v>361206</v>
      </c>
      <c r="C229" s="9">
        <f>B229*8.75</f>
        <v>3160552.5</v>
      </c>
      <c r="D229" s="5">
        <f>B229*0.2269</f>
        <v>81957.6414</v>
      </c>
      <c r="E229" s="5"/>
    </row>
    <row r="230" spans="1:5" ht="12.75">
      <c r="A230" s="11">
        <v>1689</v>
      </c>
      <c r="B230" s="9">
        <v>361006</v>
      </c>
      <c r="C230" s="9">
        <f>B230*8.75</f>
        <v>3158802.5</v>
      </c>
      <c r="D230" s="5">
        <f>B230*0.2269</f>
        <v>81912.2614</v>
      </c>
      <c r="E230" s="5"/>
    </row>
    <row r="231" spans="1:5" ht="12.75">
      <c r="A231" s="11">
        <v>1690</v>
      </c>
      <c r="B231" s="9">
        <v>375459</v>
      </c>
      <c r="C231" s="9">
        <f>B231*8.75</f>
        <v>3285266.25</v>
      </c>
      <c r="D231" s="5">
        <f>B231*0.2269</f>
        <v>85191.6471</v>
      </c>
      <c r="E231" s="5"/>
    </row>
    <row r="232" spans="1:5" ht="12.75">
      <c r="A232" s="11"/>
      <c r="B232" s="9"/>
      <c r="C232" s="9"/>
      <c r="D232" s="5"/>
      <c r="E232" s="5"/>
    </row>
    <row r="233" spans="1:5" ht="12.75">
      <c r="A233" s="11" t="s">
        <v>427</v>
      </c>
      <c r="B233" s="9">
        <f>SUM(B227:B232)/5</f>
        <v>357009.4</v>
      </c>
      <c r="C233" s="9">
        <f>B233*8.75</f>
        <v>3123832.25</v>
      </c>
      <c r="D233" s="5">
        <f>B233*0.2269</f>
        <v>81005.43286</v>
      </c>
      <c r="E233" s="5"/>
    </row>
    <row r="234" spans="1:5" ht="12.75">
      <c r="A234" s="11"/>
      <c r="B234" s="9"/>
      <c r="C234" s="9"/>
      <c r="D234" s="5"/>
      <c r="E234" s="5"/>
    </row>
    <row r="235" spans="1:5" ht="12.75">
      <c r="A235" s="11">
        <v>1691</v>
      </c>
      <c r="B235" s="9">
        <v>331234</v>
      </c>
      <c r="C235" s="9">
        <f>B235*8.75</f>
        <v>2898297.5</v>
      </c>
      <c r="D235" s="5">
        <f>B235*0.2269</f>
        <v>75156.99459999999</v>
      </c>
      <c r="E235" s="5"/>
    </row>
    <row r="236" spans="1:5" ht="12.75">
      <c r="A236" s="11">
        <v>1692</v>
      </c>
      <c r="B236" s="9">
        <v>236935</v>
      </c>
      <c r="C236" s="9">
        <f>B236*8.75</f>
        <v>2073181.25</v>
      </c>
      <c r="D236" s="5">
        <f>B236*0.2269</f>
        <v>53760.5515</v>
      </c>
      <c r="E236" s="5"/>
    </row>
    <row r="237" spans="1:5" ht="12.75">
      <c r="A237" s="11">
        <v>1693</v>
      </c>
      <c r="B237" s="9">
        <v>318435</v>
      </c>
      <c r="C237" s="9">
        <f>B237*8.75</f>
        <v>2786306.25</v>
      </c>
      <c r="D237" s="5">
        <f>B237*0.2269</f>
        <v>72252.90149999999</v>
      </c>
      <c r="E237" s="5"/>
    </row>
    <row r="238" spans="1:5" ht="12.75">
      <c r="A238" s="11">
        <v>1694</v>
      </c>
      <c r="B238" s="9">
        <v>305081</v>
      </c>
      <c r="C238" s="9">
        <f>B238*8.75</f>
        <v>2669458.75</v>
      </c>
      <c r="D238" s="5">
        <f>B238*0.2269</f>
        <v>69222.8789</v>
      </c>
      <c r="E238" s="5"/>
    </row>
    <row r="239" spans="1:5" ht="12.75">
      <c r="A239" s="11">
        <v>1695</v>
      </c>
      <c r="B239" s="9">
        <v>310780</v>
      </c>
      <c r="C239" s="9">
        <f>B239*8.75</f>
        <v>2719325</v>
      </c>
      <c r="D239" s="5">
        <f>B239*0.2269</f>
        <v>70515.982</v>
      </c>
      <c r="E239" s="5"/>
    </row>
    <row r="240" spans="1:5" ht="12.75">
      <c r="A240" s="11"/>
      <c r="B240" s="9"/>
      <c r="C240" s="9"/>
      <c r="D240" s="5"/>
      <c r="E240" s="5"/>
    </row>
    <row r="241" spans="1:5" ht="12.75">
      <c r="A241" s="11" t="s">
        <v>427</v>
      </c>
      <c r="B241" s="9">
        <f>SUM(B235:B240)/5</f>
        <v>300493</v>
      </c>
      <c r="C241" s="9">
        <f>B241*8.75</f>
        <v>2629313.75</v>
      </c>
      <c r="D241" s="5">
        <f>B241*0.2269</f>
        <v>68181.8617</v>
      </c>
      <c r="E241" s="5"/>
    </row>
    <row r="242" spans="1:5" ht="12.75">
      <c r="A242" s="11"/>
      <c r="B242" s="9"/>
      <c r="C242" s="9"/>
      <c r="D242" s="5"/>
      <c r="E242" s="5"/>
    </row>
    <row r="243" spans="1:5" ht="12.75">
      <c r="A243" s="11">
        <v>1696</v>
      </c>
      <c r="B243" s="9">
        <v>279442</v>
      </c>
      <c r="C243" s="9">
        <f>B243*8.75</f>
        <v>2445117.5</v>
      </c>
      <c r="D243" s="5">
        <f>B243*0.2269</f>
        <v>63405.3898</v>
      </c>
      <c r="E243" s="5"/>
    </row>
    <row r="244" spans="1:5" ht="12.75">
      <c r="A244" s="11">
        <v>1697</v>
      </c>
      <c r="B244" s="9">
        <v>263110</v>
      </c>
      <c r="C244" s="9">
        <f>B244*8.75</f>
        <v>2302212.5</v>
      </c>
      <c r="D244" s="5">
        <f>B244*0.2269</f>
        <v>59699.659</v>
      </c>
      <c r="E244" s="5"/>
    </row>
    <row r="245" spans="1:5" ht="12.75">
      <c r="A245" s="11">
        <v>1698</v>
      </c>
      <c r="B245" s="9">
        <v>242518</v>
      </c>
      <c r="C245" s="9">
        <f>B245*8.75</f>
        <v>2122032.5</v>
      </c>
      <c r="D245" s="5">
        <f>B245*0.2269</f>
        <v>55027.3342</v>
      </c>
      <c r="E245" s="5"/>
    </row>
    <row r="246" spans="1:5" ht="12.75">
      <c r="A246" s="11">
        <v>1699</v>
      </c>
      <c r="B246" s="9">
        <v>242265</v>
      </c>
      <c r="C246" s="9">
        <f>B246*8.75</f>
        <v>2119818.75</v>
      </c>
      <c r="D246" s="5">
        <f>B246*0.2269</f>
        <v>54969.928499999995</v>
      </c>
      <c r="E246" s="5"/>
    </row>
    <row r="247" spans="1:5" ht="12.75">
      <c r="A247" s="11">
        <v>1700</v>
      </c>
      <c r="B247" s="9">
        <v>226186</v>
      </c>
      <c r="C247" s="9">
        <f>B247*8.75</f>
        <v>1979127.5</v>
      </c>
      <c r="D247" s="5">
        <f>B247*0.2269</f>
        <v>51321.6034</v>
      </c>
      <c r="E247" s="5"/>
    </row>
    <row r="248" spans="1:5" ht="12.75">
      <c r="A248" s="11"/>
      <c r="B248" s="9"/>
      <c r="C248" s="9"/>
      <c r="D248" s="5"/>
      <c r="E248" s="5"/>
    </row>
    <row r="249" spans="1:5" ht="12.75">
      <c r="A249" s="11" t="s">
        <v>427</v>
      </c>
      <c r="B249" s="9">
        <f>SUM(B243:B248)/5</f>
        <v>250704.2</v>
      </c>
      <c r="C249" s="9">
        <f>B249*8.75</f>
        <v>2193661.75</v>
      </c>
      <c r="D249" s="5">
        <f>B249*0.2269</f>
        <v>56884.78298</v>
      </c>
      <c r="E249" s="5"/>
    </row>
    <row r="250" spans="1:5" ht="12.75">
      <c r="A250" s="11"/>
      <c r="B250" s="9"/>
      <c r="C250" s="9"/>
      <c r="D250" s="5"/>
      <c r="E250" s="5"/>
    </row>
    <row r="251" spans="1:5" ht="12.75">
      <c r="A251" s="11">
        <v>1701</v>
      </c>
      <c r="B251" s="9">
        <v>188857</v>
      </c>
      <c r="C251" s="9">
        <f>B251*8.75</f>
        <v>1652498.75</v>
      </c>
      <c r="D251" s="5">
        <f>B251*0.2269</f>
        <v>42851.6533</v>
      </c>
      <c r="E251" s="5"/>
    </row>
    <row r="252" spans="1:5" ht="12.75">
      <c r="A252" s="11">
        <v>1702</v>
      </c>
      <c r="B252" s="9">
        <v>207753</v>
      </c>
      <c r="C252" s="9">
        <f>B252*8.75</f>
        <v>1817838.75</v>
      </c>
      <c r="D252" s="5">
        <f>B252*0.2269</f>
        <v>47139.155699999996</v>
      </c>
      <c r="E252" s="5"/>
    </row>
    <row r="253" spans="1:5" ht="12.75">
      <c r="A253" s="11">
        <v>1703</v>
      </c>
      <c r="B253" s="9">
        <v>200875</v>
      </c>
      <c r="C253" s="9">
        <f>B253*8.75</f>
        <v>1757656.25</v>
      </c>
      <c r="D253" s="5">
        <f>B253*0.2269</f>
        <v>45578.5375</v>
      </c>
      <c r="E253" s="5"/>
    </row>
    <row r="254" spans="1:5" ht="12.75">
      <c r="A254" s="11">
        <v>1704</v>
      </c>
      <c r="B254" s="9">
        <v>186145</v>
      </c>
      <c r="C254" s="9">
        <f>B254*8.75</f>
        <v>1628768.75</v>
      </c>
      <c r="D254" s="5">
        <f>B254*0.2269</f>
        <v>42236.3005</v>
      </c>
      <c r="E254" s="5"/>
    </row>
    <row r="255" spans="1:5" ht="12.75">
      <c r="A255" s="11">
        <v>1705</v>
      </c>
      <c r="B255" s="9">
        <v>178087</v>
      </c>
      <c r="C255" s="9">
        <f>B255*8.75</f>
        <v>1558261.25</v>
      </c>
      <c r="D255" s="5">
        <f>B255*0.2269</f>
        <v>40407.940299999995</v>
      </c>
      <c r="E255" s="5"/>
    </row>
    <row r="256" spans="1:5" ht="12.75">
      <c r="A256" s="11"/>
      <c r="B256" s="9"/>
      <c r="C256" s="9"/>
      <c r="D256" s="5"/>
      <c r="E256" s="5"/>
    </row>
    <row r="257" spans="1:5" ht="12.75">
      <c r="A257" s="11" t="s">
        <v>427</v>
      </c>
      <c r="B257" s="9">
        <f>SUM(B251:B256)/5</f>
        <v>192343.4</v>
      </c>
      <c r="C257" s="9">
        <f>B257*8.75</f>
        <v>1683004.75</v>
      </c>
      <c r="D257" s="5">
        <f>B257*0.2269</f>
        <v>43642.71746</v>
      </c>
      <c r="E257" s="5"/>
    </row>
    <row r="258" spans="1:5" ht="12.75">
      <c r="A258" s="11"/>
      <c r="B258" s="9"/>
      <c r="C258" s="9"/>
      <c r="D258" s="5"/>
      <c r="E258" s="5"/>
    </row>
    <row r="259" spans="1:5" ht="12.75">
      <c r="A259" s="11">
        <v>1706</v>
      </c>
      <c r="B259" s="9">
        <v>197799</v>
      </c>
      <c r="C259" s="9">
        <f>B259*8.75</f>
        <v>1730741.25</v>
      </c>
      <c r="D259" s="5">
        <f>B259*0.2269</f>
        <v>44880.5931</v>
      </c>
      <c r="E259" s="5"/>
    </row>
    <row r="260" spans="1:5" ht="12.75">
      <c r="A260" s="11">
        <v>1707</v>
      </c>
      <c r="B260" s="9">
        <v>203273</v>
      </c>
      <c r="C260" s="9">
        <f>B260*8.75</f>
        <v>1778638.75</v>
      </c>
      <c r="D260" s="5">
        <f>B260*0.2269</f>
        <v>46122.6437</v>
      </c>
      <c r="E260" s="5"/>
    </row>
    <row r="261" spans="1:5" ht="12.75">
      <c r="A261" s="11">
        <v>1708</v>
      </c>
      <c r="B261" s="9">
        <v>208716</v>
      </c>
      <c r="C261" s="9">
        <f>B261*8.75</f>
        <v>1826265</v>
      </c>
      <c r="D261" s="5">
        <f>B261*0.2269</f>
        <v>47357.6604</v>
      </c>
      <c r="E261" s="5"/>
    </row>
    <row r="262" spans="1:5" ht="12.75">
      <c r="A262" s="11">
        <v>1709</v>
      </c>
      <c r="B262" s="9">
        <v>186352</v>
      </c>
      <c r="C262" s="9">
        <f>B262*8.75</f>
        <v>1630580</v>
      </c>
      <c r="D262" s="5">
        <f>B262*0.2269</f>
        <v>42283.2688</v>
      </c>
      <c r="E262" s="5"/>
    </row>
    <row r="263" spans="1:5" ht="12.75">
      <c r="A263" s="11">
        <v>1710</v>
      </c>
      <c r="B263" s="9">
        <v>172364</v>
      </c>
      <c r="C263" s="9">
        <f>B263*8.75</f>
        <v>1508185</v>
      </c>
      <c r="D263" s="5">
        <f>B263*0.2269</f>
        <v>39109.391599999995</v>
      </c>
      <c r="E263" s="5"/>
    </row>
    <row r="264" spans="1:5" ht="12.75">
      <c r="A264" s="11"/>
      <c r="B264" s="9"/>
      <c r="C264" s="9"/>
      <c r="D264" s="5"/>
      <c r="E264" s="5"/>
    </row>
    <row r="265" spans="1:5" ht="12.75">
      <c r="A265" s="11" t="s">
        <v>427</v>
      </c>
      <c r="B265" s="9">
        <f>SUM(B259:B264)/5</f>
        <v>193700.8</v>
      </c>
      <c r="C265" s="9">
        <f>B265*8.75</f>
        <v>1694882</v>
      </c>
      <c r="D265" s="5">
        <f>B265*0.2269</f>
        <v>43950.71152</v>
      </c>
      <c r="E265" s="5"/>
    </row>
    <row r="266" spans="1:5" ht="12.75">
      <c r="A266" s="11"/>
      <c r="B266" s="9"/>
      <c r="C266" s="9"/>
      <c r="D266" s="5"/>
      <c r="E266" s="5"/>
    </row>
    <row r="267" spans="1:5" ht="12.75">
      <c r="A267" s="11">
        <v>1711</v>
      </c>
      <c r="B267" s="9">
        <v>137303</v>
      </c>
      <c r="C267" s="9">
        <f>B267*8.75</f>
        <v>1201401.25</v>
      </c>
      <c r="D267" s="5">
        <f>B267*0.2269</f>
        <v>31154.0507</v>
      </c>
      <c r="E267" s="5"/>
    </row>
    <row r="268" spans="1:5" ht="12.75">
      <c r="A268" s="11">
        <v>1712</v>
      </c>
      <c r="B268" s="9">
        <v>114310</v>
      </c>
      <c r="C268" s="9">
        <f>B268*8.75</f>
        <v>1000212.5</v>
      </c>
      <c r="D268" s="5">
        <f>B268*0.2269</f>
        <v>25936.939</v>
      </c>
      <c r="E268" s="5"/>
    </row>
    <row r="269" spans="1:5" ht="12.75">
      <c r="A269" s="11">
        <v>1713</v>
      </c>
      <c r="B269" s="9">
        <v>156317</v>
      </c>
      <c r="C269" s="9">
        <f>B269*8.75</f>
        <v>1367773.75</v>
      </c>
      <c r="D269" s="5">
        <f>B269*0.2269</f>
        <v>35468.3273</v>
      </c>
      <c r="E269" s="5"/>
    </row>
    <row r="270" spans="1:5" ht="12.75">
      <c r="A270" s="11">
        <v>1714</v>
      </c>
      <c r="B270" s="9">
        <v>147868</v>
      </c>
      <c r="C270" s="9">
        <f>B270*8.75</f>
        <v>1293845</v>
      </c>
      <c r="D270" s="5">
        <f>B270*0.2269</f>
        <v>33551.2492</v>
      </c>
      <c r="E270" s="5"/>
    </row>
    <row r="271" spans="1:5" ht="12.75">
      <c r="A271" s="11">
        <v>1715</v>
      </c>
      <c r="B271" s="9">
        <v>127121</v>
      </c>
      <c r="C271" s="9">
        <f>B271*8.75</f>
        <v>1112308.75</v>
      </c>
      <c r="D271" s="5">
        <f>B271*0.2269</f>
        <v>28843.7549</v>
      </c>
      <c r="E271" s="5"/>
    </row>
    <row r="272" spans="1:5" ht="12.75">
      <c r="A272" s="11"/>
      <c r="B272" s="9"/>
      <c r="C272" s="9"/>
      <c r="D272" s="5"/>
      <c r="E272" s="5"/>
    </row>
    <row r="273" spans="1:5" ht="12.75">
      <c r="A273" s="11" t="s">
        <v>427</v>
      </c>
      <c r="B273" s="9">
        <f>SUM(B267:B272)/5</f>
        <v>136583.8</v>
      </c>
      <c r="C273" s="9">
        <f>B273*8.75</f>
        <v>1195108.25</v>
      </c>
      <c r="D273" s="5">
        <f>B273*0.2269</f>
        <v>30990.864219999996</v>
      </c>
      <c r="E273" s="5"/>
    </row>
    <row r="274" spans="1:5" ht="12.75">
      <c r="A274" s="11"/>
      <c r="B274" s="9"/>
      <c r="C274" s="9"/>
      <c r="D274" s="5"/>
      <c r="E274" s="5"/>
    </row>
    <row r="275" spans="1:5" ht="12.75">
      <c r="A275" s="11">
        <v>1716</v>
      </c>
      <c r="B275" s="9">
        <v>133245</v>
      </c>
      <c r="C275" s="9">
        <f>B275*8.75</f>
        <v>1165893.75</v>
      </c>
      <c r="D275" s="5">
        <f>B275*0.2269</f>
        <v>30233.2905</v>
      </c>
      <c r="E275" s="5"/>
    </row>
    <row r="276" spans="1:5" ht="12.75">
      <c r="A276" s="11">
        <v>1717</v>
      </c>
      <c r="B276" s="9">
        <v>198682</v>
      </c>
      <c r="C276" s="9">
        <f>B276*8.75</f>
        <v>1738467.5</v>
      </c>
      <c r="D276" s="5">
        <f>B276*0.2269</f>
        <v>45080.9458</v>
      </c>
      <c r="E276" s="5"/>
    </row>
    <row r="277" spans="1:5" ht="12.75">
      <c r="A277" s="11">
        <v>1718</v>
      </c>
      <c r="B277" s="9">
        <v>179441</v>
      </c>
      <c r="C277" s="9">
        <f>B277*8.75</f>
        <v>1570108.75</v>
      </c>
      <c r="D277" s="5">
        <f>B277*0.2269</f>
        <v>40715.162899999996</v>
      </c>
      <c r="E277" s="5"/>
    </row>
    <row r="278" spans="1:5" ht="12.75">
      <c r="A278" s="11">
        <v>1719</v>
      </c>
      <c r="B278" s="9">
        <v>160492</v>
      </c>
      <c r="C278" s="9">
        <f>B278*8.75</f>
        <v>1404305</v>
      </c>
      <c r="D278" s="5">
        <f>B278*0.2269</f>
        <v>36415.6348</v>
      </c>
      <c r="E278" s="5"/>
    </row>
    <row r="279" spans="1:5" ht="12.75">
      <c r="A279" s="11">
        <v>1720</v>
      </c>
      <c r="B279" s="9">
        <v>128773</v>
      </c>
      <c r="C279" s="9">
        <f>B279*8.75</f>
        <v>1126763.75</v>
      </c>
      <c r="D279" s="5">
        <f>B279*0.2269</f>
        <v>29218.593699999998</v>
      </c>
      <c r="E279" s="5"/>
    </row>
    <row r="280" spans="1:5" ht="12.75">
      <c r="A280" s="11"/>
      <c r="B280" s="9"/>
      <c r="C280" s="9"/>
      <c r="D280" s="5"/>
      <c r="E280" s="5"/>
    </row>
    <row r="281" spans="1:5" ht="12.75">
      <c r="A281" s="11" t="s">
        <v>427</v>
      </c>
      <c r="B281" s="9">
        <f>SUM(B275:B280)/5</f>
        <v>160126.6</v>
      </c>
      <c r="C281" s="9">
        <f>B281*8.75</f>
        <v>1401107.75</v>
      </c>
      <c r="D281" s="5">
        <f>B281*0.2269</f>
        <v>36332.72554</v>
      </c>
      <c r="E281" s="5"/>
    </row>
    <row r="282" spans="1:5" ht="12.75">
      <c r="A282" s="11"/>
      <c r="B282" s="9"/>
      <c r="C282" s="9"/>
      <c r="D282" s="5"/>
      <c r="E282" s="5"/>
    </row>
    <row r="283" spans="1:5" ht="12.75">
      <c r="A283" s="11">
        <v>1721</v>
      </c>
      <c r="B283" s="9">
        <v>127517</v>
      </c>
      <c r="C283" s="9">
        <f>B283*8.75</f>
        <v>1115773.75</v>
      </c>
      <c r="D283" s="5">
        <f>B283*0.2269</f>
        <v>28933.6073</v>
      </c>
      <c r="E283" s="5"/>
    </row>
    <row r="284" spans="1:5" ht="12.75">
      <c r="A284" s="11">
        <v>1722</v>
      </c>
      <c r="B284" s="9">
        <v>127076</v>
      </c>
      <c r="C284" s="9">
        <f>B284*8.75</f>
        <v>1111915</v>
      </c>
      <c r="D284" s="5">
        <f>B284*0.2269</f>
        <v>28833.5444</v>
      </c>
      <c r="E284" s="5"/>
    </row>
    <row r="285" spans="1:5" ht="12.75">
      <c r="A285" s="11">
        <v>1723</v>
      </c>
      <c r="B285" s="9">
        <v>119576</v>
      </c>
      <c r="C285" s="9">
        <f>B285*8.75</f>
        <v>1046290</v>
      </c>
      <c r="D285" s="5">
        <f>B285*0.2269</f>
        <v>27131.7944</v>
      </c>
      <c r="E285" s="5"/>
    </row>
    <row r="286" spans="1:5" ht="12.75">
      <c r="A286" s="11">
        <v>1724</v>
      </c>
      <c r="B286" s="9">
        <v>136868</v>
      </c>
      <c r="C286" s="9">
        <f>B286*8.75</f>
        <v>1197595</v>
      </c>
      <c r="D286" s="5">
        <f>B286*0.2269</f>
        <v>31055.349199999997</v>
      </c>
      <c r="E286" s="5"/>
    </row>
    <row r="287" spans="1:5" ht="12.75">
      <c r="A287" s="11">
        <v>1725</v>
      </c>
      <c r="B287" s="9">
        <v>124222</v>
      </c>
      <c r="C287" s="9">
        <f>B287*8.75</f>
        <v>1086942.5</v>
      </c>
      <c r="D287" s="5">
        <f>B287*0.2269</f>
        <v>28185.9718</v>
      </c>
      <c r="E287" s="5"/>
    </row>
    <row r="288" spans="1:5" ht="12.75">
      <c r="A288" s="11"/>
      <c r="B288" s="9"/>
      <c r="C288" s="9"/>
      <c r="D288" s="5"/>
      <c r="E288" s="5"/>
    </row>
    <row r="289" spans="1:5" ht="12.75">
      <c r="A289" s="11" t="s">
        <v>427</v>
      </c>
      <c r="B289" s="9">
        <f>SUM(B283:B288)/5</f>
        <v>127051.8</v>
      </c>
      <c r="C289" s="9">
        <f>B289*8.75</f>
        <v>1111703.25</v>
      </c>
      <c r="D289" s="5">
        <f>B289*0.2269</f>
        <v>28828.05342</v>
      </c>
      <c r="E289" s="5"/>
    </row>
    <row r="290" spans="1:5" ht="12.75">
      <c r="A290" s="11"/>
      <c r="B290" s="9"/>
      <c r="C290" s="9"/>
      <c r="D290" s="5"/>
      <c r="E290" s="5"/>
    </row>
    <row r="291" spans="1:5" ht="12.75">
      <c r="A291" s="11">
        <v>1726</v>
      </c>
      <c r="B291" s="9">
        <v>152806</v>
      </c>
      <c r="C291" s="9">
        <f>B291*8.75</f>
        <v>1337052.5</v>
      </c>
      <c r="D291" s="5">
        <f>B291*0.2269</f>
        <v>34671.6814</v>
      </c>
      <c r="E291" s="5"/>
    </row>
    <row r="292" spans="1:5" ht="12.75">
      <c r="A292" s="11">
        <v>1727</v>
      </c>
      <c r="B292" s="9">
        <v>159439</v>
      </c>
      <c r="C292" s="9">
        <f>B292*8.75</f>
        <v>1395091.25</v>
      </c>
      <c r="D292" s="5">
        <f>B292*0.2269</f>
        <v>36176.7091</v>
      </c>
      <c r="E292" s="5"/>
    </row>
    <row r="293" spans="1:5" ht="12.75">
      <c r="A293" s="11">
        <v>1728</v>
      </c>
      <c r="B293" s="9">
        <v>178577</v>
      </c>
      <c r="C293" s="9">
        <f>B293*8.75</f>
        <v>1562548.75</v>
      </c>
      <c r="D293" s="5">
        <f>B293*0.2269</f>
        <v>40519.1213</v>
      </c>
      <c r="E293" s="5"/>
    </row>
    <row r="294" spans="1:5" ht="12.75">
      <c r="A294" s="11">
        <v>1729</v>
      </c>
      <c r="B294" s="9">
        <v>200693</v>
      </c>
      <c r="C294" s="9">
        <f>B294*8.75</f>
        <v>1756063.75</v>
      </c>
      <c r="D294" s="5">
        <f>B294*0.2269</f>
        <v>45537.2417</v>
      </c>
      <c r="E294" s="5"/>
    </row>
    <row r="295" spans="1:5" ht="12.75">
      <c r="A295" s="11">
        <v>1730</v>
      </c>
      <c r="B295" s="9">
        <v>168924</v>
      </c>
      <c r="C295" s="9">
        <f>B295*8.75</f>
        <v>1478085</v>
      </c>
      <c r="D295" s="5">
        <f>B295*0.2269</f>
        <v>38328.855599999995</v>
      </c>
      <c r="E295" s="5"/>
    </row>
    <row r="296" spans="1:5" ht="12.75">
      <c r="A296" s="11"/>
      <c r="B296" s="9"/>
      <c r="C296" s="9"/>
      <c r="D296" s="5"/>
      <c r="E296" s="5"/>
    </row>
    <row r="297" spans="1:5" ht="12.75">
      <c r="A297" s="11" t="s">
        <v>427</v>
      </c>
      <c r="B297" s="9">
        <f>SUM(B291:B296)/5</f>
        <v>172087.8</v>
      </c>
      <c r="C297" s="9">
        <f>B297*8.75</f>
        <v>1505768.25</v>
      </c>
      <c r="D297" s="5">
        <f>B297*0.2269</f>
        <v>39046.72182</v>
      </c>
      <c r="E297" s="5"/>
    </row>
    <row r="298" spans="1:5" ht="12.75">
      <c r="A298" s="11"/>
      <c r="B298" s="9"/>
      <c r="C298" s="9"/>
      <c r="D298" s="5"/>
      <c r="E298" s="5"/>
    </row>
    <row r="299" spans="1:5" ht="12.75">
      <c r="A299" s="11">
        <v>1731</v>
      </c>
      <c r="B299" s="9">
        <v>163430</v>
      </c>
      <c r="C299" s="9">
        <f>B299*8.75</f>
        <v>1430012.5</v>
      </c>
      <c r="D299" s="5">
        <f>B299*0.2269</f>
        <v>37082.267</v>
      </c>
      <c r="E299" s="5"/>
    </row>
    <row r="300" spans="1:5" ht="12.75">
      <c r="A300" s="11">
        <v>1732</v>
      </c>
      <c r="B300" s="9">
        <v>171583</v>
      </c>
      <c r="C300" s="9">
        <f>B300*8.75</f>
        <v>1501351.25</v>
      </c>
      <c r="D300" s="5">
        <f>B300*0.2269</f>
        <v>38932.1827</v>
      </c>
      <c r="E300" s="5"/>
    </row>
    <row r="301" spans="1:5" ht="12.75">
      <c r="A301" s="11">
        <v>1733</v>
      </c>
      <c r="B301" s="9">
        <v>169707</v>
      </c>
      <c r="C301" s="9">
        <f>B301*8.75</f>
        <v>1484936.25</v>
      </c>
      <c r="D301" s="5">
        <f>B301*0.2269</f>
        <v>38506.518299999996</v>
      </c>
      <c r="E301" s="5"/>
    </row>
    <row r="302" spans="1:5" ht="12.75">
      <c r="A302" s="11">
        <v>1734</v>
      </c>
      <c r="B302" s="9">
        <v>152064</v>
      </c>
      <c r="C302" s="9">
        <f>B302*8.75</f>
        <v>1330560</v>
      </c>
      <c r="D302" s="5">
        <f>B302*0.2269</f>
        <v>34503.321599999996</v>
      </c>
      <c r="E302" s="5"/>
    </row>
    <row r="303" spans="1:5" ht="12.75">
      <c r="A303" s="11">
        <v>1735</v>
      </c>
      <c r="B303" s="9">
        <v>151250</v>
      </c>
      <c r="C303" s="9">
        <f>B303*8.75</f>
        <v>1323437.5</v>
      </c>
      <c r="D303" s="5">
        <f>B303*0.2269</f>
        <v>34318.625</v>
      </c>
      <c r="E303" s="5"/>
    </row>
    <row r="304" spans="1:5" ht="12.75">
      <c r="A304" s="11"/>
      <c r="B304" s="9"/>
      <c r="C304" s="9"/>
      <c r="D304" s="5"/>
      <c r="E304" s="5"/>
    </row>
    <row r="305" spans="1:5" ht="12.75">
      <c r="A305" s="11" t="s">
        <v>427</v>
      </c>
      <c r="B305" s="9">
        <f>SUM(B299:B304)/5</f>
        <v>161606.8</v>
      </c>
      <c r="C305" s="9">
        <f>B305*8.75</f>
        <v>1414059.5</v>
      </c>
      <c r="D305" s="5">
        <f>B305*0.2269</f>
        <v>36668.58291999999</v>
      </c>
      <c r="E305" s="5"/>
    </row>
    <row r="308" ht="12.75">
      <c r="B308" s="1" t="s">
        <v>497</v>
      </c>
    </row>
    <row r="311" spans="1:4" ht="12.75">
      <c r="A311" s="11">
        <v>1700</v>
      </c>
      <c r="B311" s="9">
        <v>226186</v>
      </c>
      <c r="C311" s="9">
        <f>B311*8.75</f>
        <v>1979127.5</v>
      </c>
      <c r="D311" s="5">
        <f>B311*0.2269</f>
        <v>51321.6034</v>
      </c>
    </row>
    <row r="312" spans="1:4" ht="12.75">
      <c r="A312" s="11">
        <v>1701</v>
      </c>
      <c r="B312" s="9">
        <v>188857</v>
      </c>
      <c r="C312" s="9">
        <f>B312*8.75</f>
        <v>1652498.75</v>
      </c>
      <c r="D312" s="5">
        <f>B312*0.2269</f>
        <v>42851.6533</v>
      </c>
    </row>
    <row r="313" spans="1:4" ht="12.75">
      <c r="A313" s="11">
        <v>1702</v>
      </c>
      <c r="B313" s="9">
        <v>207753</v>
      </c>
      <c r="C313" s="9">
        <f>B313*8.75</f>
        <v>1817838.75</v>
      </c>
      <c r="D313" s="5">
        <f>B313*0.2269</f>
        <v>47139.155699999996</v>
      </c>
    </row>
    <row r="314" spans="1:4" ht="12.75">
      <c r="A314" s="11">
        <v>1703</v>
      </c>
      <c r="B314" s="9">
        <v>200875</v>
      </c>
      <c r="C314" s="9">
        <f>B314*8.75</f>
        <v>1757656.25</v>
      </c>
      <c r="D314" s="5">
        <f>B314*0.2269</f>
        <v>45578.5375</v>
      </c>
    </row>
    <row r="315" spans="1:4" ht="12.75">
      <c r="A315" s="11">
        <v>1704</v>
      </c>
      <c r="B315" s="9">
        <v>186145</v>
      </c>
      <c r="C315" s="9">
        <f>B315*8.75</f>
        <v>1628768.75</v>
      </c>
      <c r="D315" s="5">
        <f>B315*0.2269</f>
        <v>42236.3005</v>
      </c>
    </row>
    <row r="316" spans="1:4" ht="12.75">
      <c r="A316" s="11"/>
      <c r="B316" s="9"/>
      <c r="C316" s="9"/>
      <c r="D316" s="5"/>
    </row>
    <row r="317" spans="1:4" ht="12.75">
      <c r="A317" s="11" t="s">
        <v>121</v>
      </c>
      <c r="B317" s="9"/>
      <c r="C317" s="9"/>
      <c r="D317" s="5">
        <f>SUM(D311:D316)/5</f>
        <v>45825.45008</v>
      </c>
    </row>
    <row r="318" spans="1:4" ht="12.75">
      <c r="A318" s="11"/>
      <c r="B318" s="9"/>
      <c r="C318" s="9"/>
      <c r="D318" s="5"/>
    </row>
    <row r="319" spans="1:4" ht="12.75">
      <c r="A319" s="11">
        <v>1705</v>
      </c>
      <c r="B319" s="9">
        <v>178087</v>
      </c>
      <c r="C319" s="9">
        <f>B319*8.75</f>
        <v>1558261.25</v>
      </c>
      <c r="D319" s="5">
        <f>B319*0.2269</f>
        <v>40407.940299999995</v>
      </c>
    </row>
    <row r="320" spans="1:4" ht="12.75">
      <c r="A320" s="11">
        <v>1706</v>
      </c>
      <c r="B320" s="9">
        <v>197799</v>
      </c>
      <c r="C320" s="9">
        <f>B320*8.75</f>
        <v>1730741.25</v>
      </c>
      <c r="D320" s="5">
        <f>B320*0.2269</f>
        <v>44880.5931</v>
      </c>
    </row>
    <row r="321" spans="1:4" ht="12.75">
      <c r="A321" s="11">
        <v>1707</v>
      </c>
      <c r="B321" s="9">
        <v>203273</v>
      </c>
      <c r="C321" s="9">
        <f>B321*8.75</f>
        <v>1778638.75</v>
      </c>
      <c r="D321" s="5">
        <f>B321*0.2269</f>
        <v>46122.6437</v>
      </c>
    </row>
    <row r="322" spans="1:4" ht="12.75">
      <c r="A322" s="11">
        <v>1708</v>
      </c>
      <c r="B322" s="9">
        <v>208716</v>
      </c>
      <c r="C322" s="9">
        <f>B322*8.75</f>
        <v>1826265</v>
      </c>
      <c r="D322" s="5">
        <f>B322*0.2269</f>
        <v>47357.6604</v>
      </c>
    </row>
    <row r="323" spans="1:4" ht="12.75">
      <c r="A323" s="11">
        <v>1709</v>
      </c>
      <c r="B323" s="9">
        <v>186352</v>
      </c>
      <c r="C323" s="9">
        <f>B323*8.75</f>
        <v>1630580</v>
      </c>
      <c r="D323" s="5">
        <f>B323*0.2269</f>
        <v>42283.2688</v>
      </c>
    </row>
    <row r="324" spans="1:4" ht="12.75">
      <c r="A324" s="11"/>
      <c r="B324" s="9"/>
      <c r="C324" s="9"/>
      <c r="D324" s="5"/>
    </row>
    <row r="325" spans="1:4" ht="12.75">
      <c r="A325" s="11" t="s">
        <v>125</v>
      </c>
      <c r="B325" s="9"/>
      <c r="C325" s="9"/>
      <c r="D325" s="5">
        <f>SUM(D319:D324)/5</f>
        <v>44210.42125999999</v>
      </c>
    </row>
    <row r="326" spans="1:4" ht="12.75">
      <c r="A326" s="11"/>
      <c r="B326" s="9"/>
      <c r="C326" s="9"/>
      <c r="D326" s="5"/>
    </row>
    <row r="327" spans="1:4" ht="12.75">
      <c r="A327" s="11">
        <v>1710</v>
      </c>
      <c r="B327" s="9">
        <v>172364</v>
      </c>
      <c r="C327" s="9">
        <f>B327*8.75</f>
        <v>1508185</v>
      </c>
      <c r="D327" s="5">
        <f>B327*0.2269</f>
        <v>39109.391599999995</v>
      </c>
    </row>
    <row r="328" spans="1:4" ht="12.75">
      <c r="A328" s="11">
        <v>1711</v>
      </c>
      <c r="B328" s="9">
        <v>137303</v>
      </c>
      <c r="C328" s="9">
        <f>B328*8.75</f>
        <v>1201401.25</v>
      </c>
      <c r="D328" s="5">
        <f>B328*0.2269</f>
        <v>31154.0507</v>
      </c>
    </row>
    <row r="329" spans="1:4" ht="12.75">
      <c r="A329" s="11">
        <v>1712</v>
      </c>
      <c r="B329" s="9">
        <v>114310</v>
      </c>
      <c r="C329" s="9">
        <f>B329*8.75</f>
        <v>1000212.5</v>
      </c>
      <c r="D329" s="5">
        <f>B329*0.2269</f>
        <v>25936.939</v>
      </c>
    </row>
    <row r="330" spans="1:4" ht="12.75">
      <c r="A330" s="11">
        <v>1713</v>
      </c>
      <c r="B330" s="9">
        <v>156317</v>
      </c>
      <c r="C330" s="9">
        <f>B330*8.75</f>
        <v>1367773.75</v>
      </c>
      <c r="D330" s="5">
        <f>B330*0.2269</f>
        <v>35468.3273</v>
      </c>
    </row>
    <row r="331" spans="1:4" ht="12.75">
      <c r="A331" s="11">
        <v>1714</v>
      </c>
      <c r="B331" s="9">
        <v>147868</v>
      </c>
      <c r="C331" s="9">
        <f>B331*8.75</f>
        <v>1293845</v>
      </c>
      <c r="D331" s="5">
        <f>B331*0.2269</f>
        <v>33551.2492</v>
      </c>
    </row>
    <row r="332" spans="1:4" ht="12.75">
      <c r="A332" s="11"/>
      <c r="B332" s="9"/>
      <c r="C332" s="9"/>
      <c r="D332" s="5"/>
    </row>
    <row r="333" spans="1:4" ht="12.75">
      <c r="A333" s="11" t="s">
        <v>127</v>
      </c>
      <c r="B333" s="9"/>
      <c r="C333" s="9"/>
      <c r="D333" s="5">
        <f>SUM(D327:D332)/5</f>
        <v>33043.991559999995</v>
      </c>
    </row>
    <row r="334" spans="1:4" ht="12.75">
      <c r="A334" s="11"/>
      <c r="B334" s="9"/>
      <c r="C334" s="9"/>
      <c r="D334" s="5"/>
    </row>
    <row r="335" spans="1:4" ht="12.75">
      <c r="A335" s="11">
        <v>1715</v>
      </c>
      <c r="B335" s="9">
        <v>127121</v>
      </c>
      <c r="C335" s="9">
        <f>B335*8.75</f>
        <v>1112308.75</v>
      </c>
      <c r="D335" s="5">
        <f>B335*0.2269</f>
        <v>28843.7549</v>
      </c>
    </row>
    <row r="336" spans="1:4" ht="12.75">
      <c r="A336" s="11">
        <v>1716</v>
      </c>
      <c r="B336" s="9">
        <v>133245</v>
      </c>
      <c r="C336" s="9">
        <f>B336*8.75</f>
        <v>1165893.75</v>
      </c>
      <c r="D336" s="5">
        <f>B336*0.2269</f>
        <v>30233.2905</v>
      </c>
    </row>
    <row r="337" spans="1:4" ht="12.75">
      <c r="A337" s="11">
        <v>1717</v>
      </c>
      <c r="B337" s="9">
        <v>198682</v>
      </c>
      <c r="C337" s="9">
        <f>B337*8.75</f>
        <v>1738467.5</v>
      </c>
      <c r="D337" s="5">
        <f>B337*0.2269</f>
        <v>45080.9458</v>
      </c>
    </row>
    <row r="338" spans="1:4" ht="12.75">
      <c r="A338" s="11">
        <v>1718</v>
      </c>
      <c r="B338" s="9">
        <v>179441</v>
      </c>
      <c r="C338" s="9">
        <f>B338*8.75</f>
        <v>1570108.75</v>
      </c>
      <c r="D338" s="5">
        <f>B338*0.2269</f>
        <v>40715.162899999996</v>
      </c>
    </row>
    <row r="339" spans="1:4" ht="12.75">
      <c r="A339" s="11">
        <v>1719</v>
      </c>
      <c r="B339" s="9">
        <v>160492</v>
      </c>
      <c r="C339" s="9">
        <f>B339*8.75</f>
        <v>1404305</v>
      </c>
      <c r="D339" s="5">
        <f>B339*0.2269</f>
        <v>36415.6348</v>
      </c>
    </row>
    <row r="340" spans="1:4" ht="12.75">
      <c r="A340" s="11"/>
      <c r="B340" s="9"/>
      <c r="C340" s="9"/>
      <c r="D340" s="5"/>
    </row>
    <row r="341" spans="1:4" ht="12.75">
      <c r="A341" s="11" t="s">
        <v>131</v>
      </c>
      <c r="B341" s="9"/>
      <c r="C341" s="9"/>
      <c r="D341" s="5">
        <f>SUM(D335:D340)/5</f>
        <v>36257.75778</v>
      </c>
    </row>
    <row r="342" spans="1:4" ht="12.75">
      <c r="A342" s="11"/>
      <c r="B342" s="9"/>
      <c r="C342" s="9"/>
      <c r="D342" s="5"/>
    </row>
    <row r="343" spans="1:4" ht="12.75">
      <c r="A343" s="11">
        <v>1720</v>
      </c>
      <c r="B343" s="9">
        <v>128773</v>
      </c>
      <c r="C343" s="9">
        <f>B343*8.75</f>
        <v>1126763.75</v>
      </c>
      <c r="D343" s="5">
        <f>B343*0.2269</f>
        <v>29218.593699999998</v>
      </c>
    </row>
    <row r="344" spans="1:4" ht="12.75">
      <c r="A344" s="11">
        <v>1721</v>
      </c>
      <c r="B344" s="9">
        <v>127517</v>
      </c>
      <c r="C344" s="9">
        <f>B344*8.75</f>
        <v>1115773.75</v>
      </c>
      <c r="D344" s="5">
        <f>B344*0.2269</f>
        <v>28933.6073</v>
      </c>
    </row>
    <row r="345" spans="1:4" ht="12.75">
      <c r="A345" s="11">
        <v>1722</v>
      </c>
      <c r="B345" s="9">
        <v>127076</v>
      </c>
      <c r="C345" s="9">
        <f>B345*8.75</f>
        <v>1111915</v>
      </c>
      <c r="D345" s="5">
        <f>B345*0.2269</f>
        <v>28833.5444</v>
      </c>
    </row>
    <row r="346" spans="1:4" ht="12.75">
      <c r="A346" s="11">
        <v>1723</v>
      </c>
      <c r="B346" s="9">
        <v>119576</v>
      </c>
      <c r="C346" s="9">
        <f>B346*8.75</f>
        <v>1046290</v>
      </c>
      <c r="D346" s="5">
        <f>B346*0.2269</f>
        <v>27131.7944</v>
      </c>
    </row>
    <row r="347" spans="1:4" ht="12.75">
      <c r="A347" s="11">
        <v>1724</v>
      </c>
      <c r="B347" s="9">
        <v>136868</v>
      </c>
      <c r="C347" s="9">
        <f>B347*8.75</f>
        <v>1197595</v>
      </c>
      <c r="D347" s="5">
        <f>B347*0.2269</f>
        <v>31055.349199999997</v>
      </c>
    </row>
    <row r="348" spans="1:4" ht="12.75">
      <c r="A348" s="11"/>
      <c r="B348" s="9"/>
      <c r="C348" s="9"/>
      <c r="D348" s="5"/>
    </row>
    <row r="349" spans="1:4" ht="12.75">
      <c r="A349" s="11" t="s">
        <v>133</v>
      </c>
      <c r="B349" s="9"/>
      <c r="C349" s="9"/>
      <c r="D349" s="5">
        <f>SUM(D343:D348)/5</f>
        <v>29034.5778</v>
      </c>
    </row>
    <row r="350" spans="1:4" ht="12.75">
      <c r="A350" s="11"/>
      <c r="B350" s="9"/>
      <c r="C350" s="9"/>
      <c r="D350" s="5"/>
    </row>
    <row r="351" spans="1:4" ht="12.75">
      <c r="A351" s="11">
        <v>1725</v>
      </c>
      <c r="B351" s="9">
        <v>124222</v>
      </c>
      <c r="C351" s="9">
        <f>B351*8.75</f>
        <v>1086942.5</v>
      </c>
      <c r="D351" s="5">
        <f>B351*0.2269</f>
        <v>28185.9718</v>
      </c>
    </row>
    <row r="352" spans="1:4" ht="12.75">
      <c r="A352" s="11">
        <v>1726</v>
      </c>
      <c r="B352" s="9">
        <v>152806</v>
      </c>
      <c r="C352" s="9">
        <f>B352*8.75</f>
        <v>1337052.5</v>
      </c>
      <c r="D352" s="5">
        <f>B352*0.2269</f>
        <v>34671.6814</v>
      </c>
    </row>
    <row r="353" spans="1:4" ht="12.75">
      <c r="A353" s="11">
        <v>1727</v>
      </c>
      <c r="B353" s="9">
        <v>159439</v>
      </c>
      <c r="C353" s="9">
        <f>B353*8.75</f>
        <v>1395091.25</v>
      </c>
      <c r="D353" s="5">
        <f>B353*0.2269</f>
        <v>36176.7091</v>
      </c>
    </row>
    <row r="354" spans="1:4" ht="12.75">
      <c r="A354" s="11">
        <v>1728</v>
      </c>
      <c r="B354" s="9">
        <v>178577</v>
      </c>
      <c r="C354" s="9">
        <f>B354*8.75</f>
        <v>1562548.75</v>
      </c>
      <c r="D354" s="5">
        <f>B354*0.2269</f>
        <v>40519.1213</v>
      </c>
    </row>
    <row r="355" spans="1:4" ht="12.75">
      <c r="A355" s="11">
        <v>1729</v>
      </c>
      <c r="B355" s="9">
        <v>200693</v>
      </c>
      <c r="C355" s="9">
        <f>B355*8.75</f>
        <v>1756063.75</v>
      </c>
      <c r="D355" s="5">
        <f>B355*0.2269</f>
        <v>45537.2417</v>
      </c>
    </row>
    <row r="356" spans="1:4" ht="12.75">
      <c r="A356" s="11"/>
      <c r="B356" s="9"/>
      <c r="C356" s="9"/>
      <c r="D356" s="5"/>
    </row>
    <row r="357" spans="1:4" ht="12.75">
      <c r="A357" s="11" t="s">
        <v>137</v>
      </c>
      <c r="B357" s="9"/>
      <c r="C357" s="9"/>
      <c r="D357" s="5">
        <f>SUM(D351:D356)/5</f>
        <v>37018.145059999995</v>
      </c>
    </row>
    <row r="358" spans="1:4" ht="12.75">
      <c r="A358" s="11"/>
      <c r="B358" s="9"/>
      <c r="C358" s="9"/>
      <c r="D358" s="5"/>
    </row>
    <row r="359" spans="1:4" ht="12.75">
      <c r="A359" s="11">
        <v>1730</v>
      </c>
      <c r="B359" s="9">
        <v>168924</v>
      </c>
      <c r="C359" s="9">
        <f>B359*8.75</f>
        <v>1478085</v>
      </c>
      <c r="D359" s="5">
        <f>B359*0.2269</f>
        <v>38328.855599999995</v>
      </c>
    </row>
    <row r="360" spans="1:4" ht="12.75">
      <c r="A360" s="11">
        <v>1731</v>
      </c>
      <c r="B360" s="9">
        <v>163430</v>
      </c>
      <c r="C360" s="9">
        <f>B360*8.75</f>
        <v>1430012.5</v>
      </c>
      <c r="D360" s="5">
        <f>B360*0.2269</f>
        <v>37082.267</v>
      </c>
    </row>
    <row r="361" spans="1:4" ht="12.75">
      <c r="A361" s="11">
        <v>1732</v>
      </c>
      <c r="B361" s="9">
        <v>171583</v>
      </c>
      <c r="C361" s="9">
        <f>B361*8.75</f>
        <v>1501351.25</v>
      </c>
      <c r="D361" s="5">
        <f>B361*0.2269</f>
        <v>38932.1827</v>
      </c>
    </row>
    <row r="362" spans="1:4" ht="12.75">
      <c r="A362" s="11">
        <v>1733</v>
      </c>
      <c r="B362" s="9">
        <v>169707</v>
      </c>
      <c r="C362" s="9">
        <f>B362*8.75</f>
        <v>1484936.25</v>
      </c>
      <c r="D362" s="5">
        <f>B362*0.2269</f>
        <v>38506.518299999996</v>
      </c>
    </row>
    <row r="363" spans="1:4" ht="12.75">
      <c r="A363" s="11">
        <v>1734</v>
      </c>
      <c r="B363" s="9">
        <v>152064</v>
      </c>
      <c r="C363" s="9">
        <f>B363*8.75</f>
        <v>1330560</v>
      </c>
      <c r="D363" s="5">
        <f>B363*0.2269</f>
        <v>34503.321599999996</v>
      </c>
    </row>
    <row r="364" spans="1:4" ht="12.75">
      <c r="A364" s="11"/>
      <c r="B364" s="9"/>
      <c r="C364" s="9"/>
      <c r="D364" s="5"/>
    </row>
    <row r="365" spans="1:4" ht="12.75">
      <c r="A365" s="11" t="s">
        <v>139</v>
      </c>
      <c r="B365" s="9"/>
      <c r="C365" s="9"/>
      <c r="D365" s="5">
        <f>SUM(D359:D364)/5</f>
        <v>37470.62904</v>
      </c>
    </row>
    <row r="366" spans="1:4" ht="12.75">
      <c r="A366" s="11"/>
      <c r="B366" s="9"/>
      <c r="C366" s="9"/>
      <c r="D366" s="5"/>
    </row>
    <row r="367" spans="1:4" ht="12.75">
      <c r="A367" s="11">
        <v>1735</v>
      </c>
      <c r="B367" s="9">
        <v>151250</v>
      </c>
      <c r="C367" s="9">
        <f>B367*8.75</f>
        <v>1323437.5</v>
      </c>
      <c r="D367" s="5">
        <f>B367*0.2269</f>
        <v>34318.625</v>
      </c>
    </row>
    <row r="368" spans="1:4" ht="12.75">
      <c r="A368" s="11"/>
      <c r="B368" s="9"/>
      <c r="C368" s="9"/>
      <c r="D368" s="5"/>
    </row>
    <row r="369" spans="1:4" ht="12.75">
      <c r="A369" s="11"/>
      <c r="B369" s="9"/>
      <c r="C369" s="9"/>
      <c r="D369" s="4"/>
    </row>
    <row r="370" spans="1:4" ht="12.75">
      <c r="A370" s="11"/>
      <c r="B370" s="9"/>
      <c r="C370" s="9"/>
      <c r="D370" s="4"/>
    </row>
    <row r="371" spans="1:4" ht="12.75">
      <c r="A371" s="11"/>
      <c r="B371" s="9"/>
      <c r="C371" s="9"/>
      <c r="D371" s="4"/>
    </row>
    <row r="372" spans="1:4" ht="12.75">
      <c r="A372" s="11"/>
      <c r="B372" s="9"/>
      <c r="C372" s="9"/>
      <c r="D372" s="4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1:I5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0.28125" style="13" customWidth="1"/>
    <col min="2" max="2" width="8.7109375" style="9" customWidth="1"/>
    <col min="3" max="3" width="10.28125" style="0" customWidth="1"/>
    <col min="4" max="4" width="11.7109375" style="1" customWidth="1"/>
    <col min="5" max="5" width="10.28125" style="0" customWidth="1"/>
    <col min="7" max="7" width="15.140625" style="9" customWidth="1"/>
    <col min="8" max="8" width="10.140625" style="9" customWidth="1"/>
    <col min="9" max="9" width="11.7109375" style="5" customWidth="1"/>
  </cols>
  <sheetData>
    <row r="1" spans="1:5" ht="12.75">
      <c r="A1" s="13" t="s">
        <v>2</v>
      </c>
      <c r="B1" s="10" t="s">
        <v>486</v>
      </c>
      <c r="C1" s="9"/>
      <c r="D1" s="4"/>
      <c r="E1" s="4"/>
    </row>
    <row r="2" spans="2:5" ht="12.75">
      <c r="B2" s="10" t="s">
        <v>6</v>
      </c>
      <c r="C2" s="9"/>
      <c r="D2" s="4"/>
      <c r="E2" s="4"/>
    </row>
    <row r="3" spans="2:5" ht="12.75">
      <c r="B3" s="10" t="s">
        <v>521</v>
      </c>
      <c r="C3" s="9"/>
      <c r="D3" s="4"/>
      <c r="E3" s="4"/>
    </row>
    <row r="4" spans="2:5" ht="12.75">
      <c r="B4" s="10" t="s">
        <v>481</v>
      </c>
      <c r="C4" s="9"/>
      <c r="D4" s="4"/>
      <c r="E4" s="4"/>
    </row>
    <row r="5" spans="3:5" ht="12.75">
      <c r="C5" s="9"/>
      <c r="D5" s="4"/>
      <c r="E5" s="4"/>
    </row>
    <row r="6" spans="1:9" ht="12.75">
      <c r="A6" s="13" t="s">
        <v>575</v>
      </c>
      <c r="B6" s="10" t="s">
        <v>409</v>
      </c>
      <c r="C6" s="10" t="s">
        <v>479</v>
      </c>
      <c r="D6" s="4" t="s">
        <v>389</v>
      </c>
      <c r="E6" s="4"/>
      <c r="G6" s="10" t="s">
        <v>253</v>
      </c>
      <c r="H6" s="10" t="s">
        <v>253</v>
      </c>
      <c r="I6" s="4" t="s">
        <v>254</v>
      </c>
    </row>
    <row r="7" spans="2:9" ht="12.75">
      <c r="B7" s="10" t="s">
        <v>193</v>
      </c>
      <c r="C7" s="10" t="s">
        <v>201</v>
      </c>
      <c r="D7" s="4" t="s">
        <v>301</v>
      </c>
      <c r="E7" s="4"/>
      <c r="G7" s="10" t="s">
        <v>479</v>
      </c>
      <c r="H7" s="10" t="s">
        <v>388</v>
      </c>
      <c r="I7" s="4" t="s">
        <v>202</v>
      </c>
    </row>
    <row r="8" spans="3:5" ht="12.75">
      <c r="C8" s="9"/>
      <c r="D8" s="4"/>
      <c r="E8" s="4"/>
    </row>
    <row r="9" spans="1:5" ht="12.75">
      <c r="A9" s="13">
        <v>1550</v>
      </c>
      <c r="B9" s="9">
        <v>379244</v>
      </c>
      <c r="C9" s="9">
        <f>B9*8.75</f>
        <v>3318385</v>
      </c>
      <c r="D9" s="4">
        <f>B9*0.2269</f>
        <v>86050.4636</v>
      </c>
      <c r="E9" s="4"/>
    </row>
    <row r="10" spans="1:5" ht="12.75">
      <c r="A10" s="13" t="s">
        <v>67</v>
      </c>
      <c r="B10" s="9">
        <v>285803.8</v>
      </c>
      <c r="C10" s="9">
        <v>2500783.25</v>
      </c>
      <c r="D10" s="4">
        <v>64848.88221999999</v>
      </c>
      <c r="E10" s="4"/>
    </row>
    <row r="11" spans="1:9" ht="12.75">
      <c r="A11" s="13" t="s">
        <v>69</v>
      </c>
      <c r="B11" s="9">
        <v>239470</v>
      </c>
      <c r="C11" s="9">
        <v>2095362.5</v>
      </c>
      <c r="D11" s="4">
        <v>54335.742999999995</v>
      </c>
      <c r="E11" s="4"/>
      <c r="G11" s="9">
        <v>2065759</v>
      </c>
      <c r="H11" s="9">
        <v>58686</v>
      </c>
      <c r="I11" s="5">
        <f aca="true" t="shared" si="0" ref="I11:I51">G11*(25.931/1000)</f>
        <v>53567.196629000005</v>
      </c>
    </row>
    <row r="12" spans="1:9" ht="12.75">
      <c r="A12" s="13" t="s">
        <v>70</v>
      </c>
      <c r="B12" s="9">
        <v>247159</v>
      </c>
      <c r="C12" s="9">
        <v>2162641.25</v>
      </c>
      <c r="D12" s="4">
        <v>56080.3771</v>
      </c>
      <c r="E12" s="4"/>
      <c r="G12" s="9">
        <v>2198505</v>
      </c>
      <c r="H12" s="9">
        <v>62458</v>
      </c>
      <c r="I12" s="5">
        <f t="shared" si="0"/>
        <v>57009.433155000006</v>
      </c>
    </row>
    <row r="13" spans="1:9" ht="12.75">
      <c r="A13" s="13" t="s">
        <v>72</v>
      </c>
      <c r="B13" s="9">
        <v>227932.4</v>
      </c>
      <c r="C13" s="9">
        <v>1994408.5</v>
      </c>
      <c r="D13" s="4">
        <v>51717.86156</v>
      </c>
      <c r="E13" s="4"/>
      <c r="G13" s="9">
        <v>2006876</v>
      </c>
      <c r="H13" s="9">
        <v>57014</v>
      </c>
      <c r="I13" s="5">
        <f t="shared" si="0"/>
        <v>52040.301556000006</v>
      </c>
    </row>
    <row r="14" spans="1:9" ht="12.75">
      <c r="A14" s="13" t="s">
        <v>73</v>
      </c>
      <c r="B14" s="9">
        <v>160595</v>
      </c>
      <c r="C14" s="9">
        <v>1405206.25</v>
      </c>
      <c r="D14" s="4">
        <v>36439.0055</v>
      </c>
      <c r="E14" s="4"/>
      <c r="G14" s="9">
        <v>1444906</v>
      </c>
      <c r="H14" s="9">
        <v>41048</v>
      </c>
      <c r="I14" s="5">
        <f t="shared" si="0"/>
        <v>37467.857486</v>
      </c>
    </row>
    <row r="15" spans="1:9" ht="12.75">
      <c r="A15" s="13" t="s">
        <v>75</v>
      </c>
      <c r="B15" s="9">
        <v>491879.8</v>
      </c>
      <c r="C15" s="9">
        <v>4303948.25</v>
      </c>
      <c r="D15" s="4">
        <v>111607.52661999999</v>
      </c>
      <c r="E15" s="4"/>
      <c r="G15" s="9">
        <v>4366555</v>
      </c>
      <c r="H15" s="9">
        <v>124050</v>
      </c>
      <c r="I15" s="5">
        <f t="shared" si="0"/>
        <v>113229.13770500002</v>
      </c>
    </row>
    <row r="16" spans="1:9" ht="12.75">
      <c r="A16" s="13" t="s">
        <v>76</v>
      </c>
      <c r="B16" s="9">
        <v>742170.4</v>
      </c>
      <c r="C16" s="9">
        <v>6493991</v>
      </c>
      <c r="D16" s="4">
        <v>168398.46375999998</v>
      </c>
      <c r="E16" s="4"/>
      <c r="G16" s="9">
        <v>6603200</v>
      </c>
      <c r="H16" s="9">
        <v>187591</v>
      </c>
      <c r="I16" s="5">
        <f t="shared" si="0"/>
        <v>171227.5792</v>
      </c>
    </row>
    <row r="17" spans="1:9" ht="12.75">
      <c r="A17" s="13" t="s">
        <v>78</v>
      </c>
      <c r="B17" s="9">
        <v>779372</v>
      </c>
      <c r="C17" s="9">
        <v>6819505</v>
      </c>
      <c r="D17" s="4">
        <v>176839.5068</v>
      </c>
      <c r="E17" s="4"/>
      <c r="G17" s="9">
        <v>7126343</v>
      </c>
      <c r="H17" s="9">
        <v>202453</v>
      </c>
      <c r="I17" s="5">
        <f t="shared" si="0"/>
        <v>184793.20033300002</v>
      </c>
    </row>
    <row r="18" spans="1:9" ht="12.75">
      <c r="A18" s="13" t="s">
        <v>82</v>
      </c>
      <c r="B18" s="9">
        <v>848190.8</v>
      </c>
      <c r="C18" s="9">
        <v>7421669.5</v>
      </c>
      <c r="D18" s="4">
        <v>192454.49252</v>
      </c>
      <c r="E18" s="4"/>
      <c r="G18" s="9">
        <v>7691410</v>
      </c>
      <c r="H18" s="9">
        <v>218506</v>
      </c>
      <c r="I18" s="5">
        <f t="shared" si="0"/>
        <v>199445.95271</v>
      </c>
    </row>
    <row r="19" spans="1:9" ht="12.75">
      <c r="A19" s="13" t="s">
        <v>84</v>
      </c>
      <c r="B19" s="9">
        <v>747782.8</v>
      </c>
      <c r="C19" s="9">
        <v>6543099.5</v>
      </c>
      <c r="D19" s="4">
        <v>169671.91732</v>
      </c>
      <c r="E19" s="4"/>
      <c r="G19" s="9">
        <v>6766658</v>
      </c>
      <c r="H19" s="9">
        <v>192235</v>
      </c>
      <c r="I19" s="5">
        <f t="shared" si="0"/>
        <v>175466.20859800003</v>
      </c>
    </row>
    <row r="20" spans="1:9" ht="12.75">
      <c r="A20" s="13" t="s">
        <v>86</v>
      </c>
      <c r="B20" s="9">
        <v>808594.2</v>
      </c>
      <c r="C20" s="9">
        <v>7075199.25</v>
      </c>
      <c r="D20" s="4">
        <v>183470.02397999997</v>
      </c>
      <c r="E20" s="4"/>
      <c r="G20" s="9">
        <v>7334220</v>
      </c>
      <c r="H20" s="9">
        <v>208359</v>
      </c>
      <c r="I20" s="5">
        <f t="shared" si="0"/>
        <v>190183.65882</v>
      </c>
    </row>
    <row r="21" spans="1:9" ht="12.75">
      <c r="A21" s="13" t="s">
        <v>88</v>
      </c>
      <c r="B21" s="9">
        <v>697547.2</v>
      </c>
      <c r="C21" s="9">
        <v>6103538</v>
      </c>
      <c r="D21" s="4">
        <v>158273.45967999997</v>
      </c>
      <c r="E21" s="4"/>
      <c r="G21" s="9">
        <v>6322539</v>
      </c>
      <c r="H21" s="9">
        <v>179618</v>
      </c>
      <c r="I21" s="5">
        <f t="shared" si="0"/>
        <v>163949.75880900002</v>
      </c>
    </row>
    <row r="22" spans="1:9" ht="12.75">
      <c r="A22" s="13" t="s">
        <v>89</v>
      </c>
      <c r="B22" s="9">
        <v>710042.6</v>
      </c>
      <c r="C22" s="9">
        <v>6212872.75</v>
      </c>
      <c r="D22" s="4">
        <v>161108.66593999998</v>
      </c>
      <c r="E22" s="4"/>
      <c r="G22" s="9">
        <v>6453807</v>
      </c>
      <c r="H22" s="9">
        <v>183347</v>
      </c>
      <c r="I22" s="5">
        <f t="shared" si="0"/>
        <v>167353.66931700002</v>
      </c>
    </row>
    <row r="23" spans="1:9" ht="12.75">
      <c r="A23" s="13" t="s">
        <v>91</v>
      </c>
      <c r="B23" s="9">
        <v>614384.2</v>
      </c>
      <c r="C23" s="9">
        <v>5375861.75</v>
      </c>
      <c r="D23" s="4">
        <v>139403.77498</v>
      </c>
      <c r="E23" s="4"/>
      <c r="G23" s="9">
        <v>5569139</v>
      </c>
      <c r="H23" s="9">
        <v>158214</v>
      </c>
      <c r="I23" s="5">
        <f t="shared" si="0"/>
        <v>144413.34340900002</v>
      </c>
    </row>
    <row r="24" spans="1:9" ht="12.75">
      <c r="A24" s="13" t="s">
        <v>93</v>
      </c>
      <c r="B24" s="9">
        <v>594073.6</v>
      </c>
      <c r="C24" s="9">
        <v>5198144</v>
      </c>
      <c r="D24" s="4">
        <v>134795.29984</v>
      </c>
      <c r="E24" s="4"/>
      <c r="G24" s="9">
        <v>5387881</v>
      </c>
      <c r="H24" s="9">
        <v>153065</v>
      </c>
      <c r="I24" s="5">
        <f t="shared" si="0"/>
        <v>139713.14221100003</v>
      </c>
    </row>
    <row r="25" spans="1:9" ht="12.75">
      <c r="A25" s="13" t="s">
        <v>95</v>
      </c>
      <c r="B25" s="9">
        <v>575708.6</v>
      </c>
      <c r="C25" s="9">
        <v>5037450.25</v>
      </c>
      <c r="D25" s="4">
        <v>130628.28133999999</v>
      </c>
      <c r="E25" s="4"/>
      <c r="G25" s="9">
        <v>5209890</v>
      </c>
      <c r="H25" s="9">
        <v>148008</v>
      </c>
      <c r="I25" s="5">
        <f t="shared" si="0"/>
        <v>135097.65759000002</v>
      </c>
    </row>
    <row r="26" spans="1:9" ht="12.75">
      <c r="A26" s="13" t="s">
        <v>96</v>
      </c>
      <c r="B26" s="9">
        <v>547676.4</v>
      </c>
      <c r="C26" s="9">
        <v>4792168.5</v>
      </c>
      <c r="D26" s="4">
        <v>124267.77516</v>
      </c>
      <c r="E26" s="4"/>
      <c r="G26" s="9">
        <v>4966355</v>
      </c>
      <c r="H26" s="9">
        <v>141090</v>
      </c>
      <c r="I26" s="5">
        <f t="shared" si="0"/>
        <v>128782.55150500001</v>
      </c>
    </row>
    <row r="27" spans="1:9" ht="12.75">
      <c r="A27" s="13" t="s">
        <v>98</v>
      </c>
      <c r="B27" s="9">
        <v>650715.4</v>
      </c>
      <c r="C27" s="9">
        <v>5693759.75</v>
      </c>
      <c r="D27" s="4">
        <v>147647.32426</v>
      </c>
      <c r="E27" s="4"/>
      <c r="G27" s="9">
        <v>5903945</v>
      </c>
      <c r="H27" s="9">
        <v>167726</v>
      </c>
      <c r="I27" s="5">
        <f t="shared" si="0"/>
        <v>153095.19779500001</v>
      </c>
    </row>
    <row r="28" spans="1:9" ht="12.75">
      <c r="A28" s="13" t="s">
        <v>99</v>
      </c>
      <c r="B28" s="9">
        <v>500865.4</v>
      </c>
      <c r="C28" s="9">
        <v>4382572.25</v>
      </c>
      <c r="D28" s="4">
        <v>113646.35926</v>
      </c>
      <c r="E28" s="4"/>
      <c r="G28" s="9">
        <v>4550412</v>
      </c>
      <c r="H28" s="9">
        <v>129273</v>
      </c>
      <c r="I28" s="5">
        <f t="shared" si="0"/>
        <v>117996.73357200001</v>
      </c>
    </row>
    <row r="29" spans="1:9" ht="12.75">
      <c r="A29" s="13" t="s">
        <v>101</v>
      </c>
      <c r="B29" s="9">
        <v>534123.4</v>
      </c>
      <c r="C29" s="9">
        <v>4673579.75</v>
      </c>
      <c r="D29" s="4">
        <v>121192.59946</v>
      </c>
      <c r="E29" s="4"/>
      <c r="G29" s="9">
        <v>4841423</v>
      </c>
      <c r="H29" s="9">
        <v>137540</v>
      </c>
      <c r="I29" s="5">
        <f t="shared" si="0"/>
        <v>125542.93981300002</v>
      </c>
    </row>
    <row r="30" spans="1:9" ht="12.75">
      <c r="A30" s="13" t="s">
        <v>103</v>
      </c>
      <c r="B30" s="9">
        <v>437951.2</v>
      </c>
      <c r="C30" s="9">
        <v>3832073</v>
      </c>
      <c r="D30" s="4">
        <v>99371.12728</v>
      </c>
      <c r="E30" s="4"/>
      <c r="G30" s="9">
        <v>4103461</v>
      </c>
      <c r="H30" s="9">
        <v>116576</v>
      </c>
      <c r="I30" s="5">
        <f t="shared" si="0"/>
        <v>106406.84719100001</v>
      </c>
    </row>
    <row r="31" spans="1:9" ht="12.75">
      <c r="A31" s="13" t="s">
        <v>105</v>
      </c>
      <c r="B31" s="9">
        <v>457077.2</v>
      </c>
      <c r="C31" s="9">
        <v>3999425.5</v>
      </c>
      <c r="D31" s="4">
        <v>103710.81668</v>
      </c>
      <c r="E31" s="4"/>
      <c r="G31" s="9">
        <v>4067713</v>
      </c>
      <c r="H31" s="9">
        <v>115560</v>
      </c>
      <c r="I31" s="5">
        <f t="shared" si="0"/>
        <v>105479.86580300001</v>
      </c>
    </row>
    <row r="32" spans="1:9" ht="12.75">
      <c r="A32" s="13" t="s">
        <v>107</v>
      </c>
      <c r="B32" s="9">
        <v>347947.8</v>
      </c>
      <c r="C32" s="9">
        <v>3044543.25</v>
      </c>
      <c r="D32" s="4">
        <v>78949.35582</v>
      </c>
      <c r="E32" s="4"/>
      <c r="G32" s="9">
        <v>3099552</v>
      </c>
      <c r="H32" s="9">
        <v>88055</v>
      </c>
      <c r="I32" s="5">
        <f t="shared" si="0"/>
        <v>80374.482912</v>
      </c>
    </row>
    <row r="33" spans="1:9" ht="12.75">
      <c r="A33" s="13" t="s">
        <v>109</v>
      </c>
      <c r="B33" s="9">
        <v>365871.8</v>
      </c>
      <c r="C33" s="9">
        <v>3201378.25</v>
      </c>
      <c r="D33" s="4">
        <v>83016.31142</v>
      </c>
      <c r="E33" s="4"/>
      <c r="G33" s="9">
        <v>3254519</v>
      </c>
      <c r="H33" s="9">
        <v>92458</v>
      </c>
      <c r="I33" s="5">
        <f t="shared" si="0"/>
        <v>84392.93218900001</v>
      </c>
    </row>
    <row r="34" spans="1:9" ht="12.75">
      <c r="A34" s="13" t="s">
        <v>110</v>
      </c>
      <c r="B34" s="9">
        <v>361470</v>
      </c>
      <c r="C34" s="9">
        <v>3162862.5</v>
      </c>
      <c r="D34" s="4">
        <v>82017.54299999999</v>
      </c>
      <c r="E34" s="4"/>
      <c r="G34" s="9">
        <v>2601364</v>
      </c>
      <c r="H34" s="9">
        <v>73902</v>
      </c>
      <c r="I34" s="5">
        <f t="shared" si="0"/>
        <v>67455.969884</v>
      </c>
    </row>
    <row r="35" spans="1:9" ht="12.75">
      <c r="A35" s="13" t="s">
        <v>112</v>
      </c>
      <c r="B35" s="9">
        <v>333879</v>
      </c>
      <c r="C35" s="9">
        <v>2921441.25</v>
      </c>
      <c r="D35" s="4">
        <v>75757.1451</v>
      </c>
      <c r="E35" s="4"/>
      <c r="G35" s="9">
        <v>2969956</v>
      </c>
      <c r="H35" s="9">
        <v>84338</v>
      </c>
      <c r="I35" s="5">
        <f t="shared" si="0"/>
        <v>77013.929036</v>
      </c>
    </row>
    <row r="36" spans="1:9" ht="12.75">
      <c r="A36" s="13" t="s">
        <v>113</v>
      </c>
      <c r="B36" s="9">
        <v>388633.2</v>
      </c>
      <c r="C36" s="9">
        <v>3400540.5</v>
      </c>
      <c r="D36" s="4">
        <v>88180.87308</v>
      </c>
      <c r="E36" s="4"/>
      <c r="G36" s="9">
        <v>3451070</v>
      </c>
      <c r="H36" s="9">
        <v>98042</v>
      </c>
      <c r="I36" s="5">
        <f t="shared" si="0"/>
        <v>89489.69617000001</v>
      </c>
    </row>
    <row r="37" spans="1:9" ht="12.75">
      <c r="A37" s="13" t="s">
        <v>115</v>
      </c>
      <c r="B37" s="9">
        <v>357009.4</v>
      </c>
      <c r="C37" s="9">
        <v>3123832.25</v>
      </c>
      <c r="D37" s="4">
        <v>81005.43286</v>
      </c>
      <c r="E37" s="4"/>
      <c r="G37" s="9">
        <v>3198517</v>
      </c>
      <c r="H37" s="9">
        <v>90867</v>
      </c>
      <c r="I37" s="5">
        <f t="shared" si="0"/>
        <v>82940.74432700001</v>
      </c>
    </row>
    <row r="38" spans="1:9" ht="12.75">
      <c r="A38" s="13" t="s">
        <v>118</v>
      </c>
      <c r="B38" s="9">
        <v>300493</v>
      </c>
      <c r="C38" s="9">
        <v>2629313.75</v>
      </c>
      <c r="D38" s="4">
        <v>68181.8617</v>
      </c>
      <c r="E38" s="4"/>
      <c r="G38" s="9">
        <v>2693681</v>
      </c>
      <c r="H38" s="9">
        <v>76525</v>
      </c>
      <c r="I38" s="5">
        <f t="shared" si="0"/>
        <v>69849.842011</v>
      </c>
    </row>
    <row r="39" spans="1:9" ht="12.75">
      <c r="A39" s="13" t="s">
        <v>120</v>
      </c>
      <c r="B39" s="9">
        <v>250704.2</v>
      </c>
      <c r="C39" s="9">
        <v>2193661.75</v>
      </c>
      <c r="D39" s="4">
        <v>56884.78298</v>
      </c>
      <c r="E39" s="4"/>
      <c r="G39" s="9">
        <v>2247202</v>
      </c>
      <c r="H39" s="9">
        <v>63841</v>
      </c>
      <c r="I39" s="5">
        <f t="shared" si="0"/>
        <v>58272.195062000006</v>
      </c>
    </row>
    <row r="40" spans="1:9" ht="12.75">
      <c r="A40" s="13" t="s">
        <v>123</v>
      </c>
      <c r="B40" s="9">
        <v>192343.4</v>
      </c>
      <c r="C40" s="9">
        <v>1683004.75</v>
      </c>
      <c r="D40" s="4">
        <v>43642.71746</v>
      </c>
      <c r="E40" s="4"/>
      <c r="G40" s="9">
        <v>1724102</v>
      </c>
      <c r="H40" s="9">
        <v>48980</v>
      </c>
      <c r="I40" s="5">
        <f t="shared" si="0"/>
        <v>44707.68896200001</v>
      </c>
    </row>
    <row r="41" spans="1:9" ht="12.75">
      <c r="A41" s="13" t="s">
        <v>126</v>
      </c>
      <c r="B41" s="9">
        <v>193700.8</v>
      </c>
      <c r="C41" s="9">
        <v>1694882</v>
      </c>
      <c r="D41" s="4">
        <v>43950.71152</v>
      </c>
      <c r="E41" s="4"/>
      <c r="G41" s="9">
        <v>1736288</v>
      </c>
      <c r="H41" s="9">
        <v>49326</v>
      </c>
      <c r="I41" s="5">
        <f t="shared" si="0"/>
        <v>45023.68412800001</v>
      </c>
    </row>
    <row r="42" spans="1:9" ht="12.75">
      <c r="A42" s="13" t="s">
        <v>129</v>
      </c>
      <c r="B42" s="9">
        <v>136583.8</v>
      </c>
      <c r="C42" s="9">
        <v>1195108.25</v>
      </c>
      <c r="D42" s="4">
        <v>30990.864219999996</v>
      </c>
      <c r="E42" s="4"/>
      <c r="G42" s="9">
        <v>1224303</v>
      </c>
      <c r="H42" s="9">
        <v>34781</v>
      </c>
      <c r="I42" s="5">
        <f t="shared" si="0"/>
        <v>31747.401093000004</v>
      </c>
    </row>
    <row r="43" spans="1:9" ht="12.75">
      <c r="A43" s="13" t="s">
        <v>132</v>
      </c>
      <c r="B43" s="9">
        <v>160126.6</v>
      </c>
      <c r="C43" s="9">
        <v>1401107.75</v>
      </c>
      <c r="D43" s="4">
        <v>36332.72554</v>
      </c>
      <c r="E43" s="4"/>
      <c r="G43" s="9">
        <v>1433196</v>
      </c>
      <c r="H43" s="9">
        <v>40716</v>
      </c>
      <c r="I43" s="5">
        <f t="shared" si="0"/>
        <v>37164.205476</v>
      </c>
    </row>
    <row r="44" spans="1:9" ht="12.75">
      <c r="A44" s="13" t="s">
        <v>135</v>
      </c>
      <c r="B44" s="9">
        <v>127051.8</v>
      </c>
      <c r="C44" s="9">
        <v>1111703.25</v>
      </c>
      <c r="D44" s="4">
        <v>28828.05342</v>
      </c>
      <c r="E44" s="4"/>
      <c r="G44" s="9">
        <v>1140827</v>
      </c>
      <c r="H44" s="9">
        <v>32409</v>
      </c>
      <c r="I44" s="5">
        <f t="shared" si="0"/>
        <v>29582.784937000004</v>
      </c>
    </row>
    <row r="45" spans="1:9" ht="12.75">
      <c r="A45" s="13" t="s">
        <v>138</v>
      </c>
      <c r="B45" s="9">
        <v>172087.8</v>
      </c>
      <c r="C45" s="9">
        <v>1505768.25</v>
      </c>
      <c r="D45" s="4">
        <v>39046.72182</v>
      </c>
      <c r="E45" s="4"/>
      <c r="G45" s="9">
        <v>1545218</v>
      </c>
      <c r="H45" s="9">
        <v>43898</v>
      </c>
      <c r="I45" s="5">
        <f t="shared" si="0"/>
        <v>40069.047958</v>
      </c>
    </row>
    <row r="46" spans="1:9" ht="12.75">
      <c r="A46" s="13" t="s">
        <v>141</v>
      </c>
      <c r="B46" s="9">
        <v>161606.8</v>
      </c>
      <c r="C46" s="9">
        <v>1414059.5</v>
      </c>
      <c r="D46" s="4">
        <v>36668.58291999999</v>
      </c>
      <c r="E46" s="4"/>
      <c r="G46" s="9">
        <v>1451110</v>
      </c>
      <c r="H46" s="9">
        <v>41224</v>
      </c>
      <c r="I46" s="5">
        <f t="shared" si="0"/>
        <v>37628.73341</v>
      </c>
    </row>
    <row r="47" spans="1:9" ht="12.75">
      <c r="A47" s="13" t="s">
        <v>144</v>
      </c>
      <c r="B47" s="9">
        <f>C47/8.75</f>
        <v>195811.77142857143</v>
      </c>
      <c r="C47" s="9">
        <v>1713353</v>
      </c>
      <c r="D47" s="4">
        <v>44428.956643000005</v>
      </c>
      <c r="G47" s="9">
        <v>1713353</v>
      </c>
      <c r="H47" s="9">
        <v>48675</v>
      </c>
      <c r="I47" s="5">
        <f t="shared" si="0"/>
        <v>44428.956643000005</v>
      </c>
    </row>
    <row r="48" spans="1:9" ht="12.75">
      <c r="A48" s="13" t="s">
        <v>147</v>
      </c>
      <c r="B48" s="9">
        <f>C48/8.75</f>
        <v>188970.74285714285</v>
      </c>
      <c r="C48" s="9">
        <v>1653494</v>
      </c>
      <c r="D48" s="4">
        <v>42876.752914000004</v>
      </c>
      <c r="G48" s="9">
        <v>1653494</v>
      </c>
      <c r="H48" s="9">
        <v>46976</v>
      </c>
      <c r="I48" s="5">
        <f t="shared" si="0"/>
        <v>42876.752914000004</v>
      </c>
    </row>
    <row r="49" spans="1:9" ht="12.75">
      <c r="A49" s="13" t="s">
        <v>150</v>
      </c>
      <c r="B49" s="9">
        <f>C49/8.75</f>
        <v>230450.74285714285</v>
      </c>
      <c r="C49" s="9">
        <v>2016444</v>
      </c>
      <c r="D49" s="4">
        <v>52288.40936400001</v>
      </c>
      <c r="G49" s="9">
        <v>2016444</v>
      </c>
      <c r="H49" s="9">
        <v>61549</v>
      </c>
      <c r="I49" s="5">
        <f t="shared" si="0"/>
        <v>52288.40936400001</v>
      </c>
    </row>
    <row r="50" spans="1:9" ht="12.75">
      <c r="A50" s="13" t="s">
        <v>153</v>
      </c>
      <c r="B50" s="9">
        <f>C50/8.75</f>
        <v>268926.6285714286</v>
      </c>
      <c r="C50" s="9">
        <v>2353108</v>
      </c>
      <c r="D50" s="4">
        <v>61018.443548</v>
      </c>
      <c r="G50" s="9">
        <v>2353108</v>
      </c>
      <c r="H50" s="9">
        <v>66850</v>
      </c>
      <c r="I50" s="5">
        <f t="shared" si="0"/>
        <v>61018.443548</v>
      </c>
    </row>
    <row r="51" spans="1:9" ht="12.75">
      <c r="A51" s="13" t="s">
        <v>156</v>
      </c>
      <c r="B51" s="9">
        <f>C51/8.75</f>
        <v>295513.82857142854</v>
      </c>
      <c r="C51" s="9">
        <v>2585746</v>
      </c>
      <c r="D51" s="4">
        <v>67050.97952600001</v>
      </c>
      <c r="G51" s="9">
        <v>2585746</v>
      </c>
      <c r="H51" s="9">
        <v>73460</v>
      </c>
      <c r="I51" s="5">
        <f t="shared" si="0"/>
        <v>67050.97952600001</v>
      </c>
    </row>
    <row r="52" spans="3:7" ht="12.75">
      <c r="C52" s="9" t="s">
        <v>13</v>
      </c>
      <c r="G52" s="9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0"/>
  </sheetPr>
  <dimension ref="A1:E66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3" max="4" width="10.28125" style="0" customWidth="1"/>
  </cols>
  <sheetData>
    <row r="1" spans="1:5" ht="12.75">
      <c r="A1" s="11" t="s">
        <v>2</v>
      </c>
      <c r="B1" s="10" t="s">
        <v>486</v>
      </c>
      <c r="C1" s="9"/>
      <c r="D1" s="5"/>
      <c r="E1" s="4"/>
    </row>
    <row r="2" spans="1:5" ht="12.75">
      <c r="A2" s="11"/>
      <c r="B2" s="10" t="s">
        <v>6</v>
      </c>
      <c r="C2" s="9"/>
      <c r="D2" s="5"/>
      <c r="E2" s="4"/>
    </row>
    <row r="3" spans="1:5" ht="12.75">
      <c r="A3" s="11"/>
      <c r="B3" s="10" t="s">
        <v>521</v>
      </c>
      <c r="C3" s="9"/>
      <c r="D3" s="5"/>
      <c r="E3" s="4"/>
    </row>
    <row r="4" spans="1:5" ht="12.75">
      <c r="A4" s="11"/>
      <c r="B4" s="9"/>
      <c r="C4" s="9"/>
      <c r="D4" s="5"/>
      <c r="E4" s="4"/>
    </row>
    <row r="5" spans="1:5" ht="12.75">
      <c r="A5" s="11" t="s">
        <v>575</v>
      </c>
      <c r="B5" s="10" t="s">
        <v>409</v>
      </c>
      <c r="C5" s="10" t="s">
        <v>479</v>
      </c>
      <c r="D5" s="4" t="s">
        <v>389</v>
      </c>
      <c r="E5" s="4"/>
    </row>
    <row r="6" spans="1:5" ht="12.75">
      <c r="A6" s="11"/>
      <c r="B6" s="10" t="s">
        <v>193</v>
      </c>
      <c r="C6" s="10"/>
      <c r="D6" s="4" t="s">
        <v>301</v>
      </c>
      <c r="E6" s="4"/>
    </row>
    <row r="8" spans="1:4" ht="12.75">
      <c r="A8" s="11">
        <v>1700</v>
      </c>
      <c r="B8" s="9">
        <v>226186</v>
      </c>
      <c r="C8" s="9">
        <f>B8*8.75</f>
        <v>1979127.5</v>
      </c>
      <c r="D8" s="5">
        <f>B8*0.2269</f>
        <v>51321.6034</v>
      </c>
    </row>
    <row r="9" spans="1:4" ht="12.75">
      <c r="A9" s="11">
        <v>1701</v>
      </c>
      <c r="B9" s="9">
        <v>188857</v>
      </c>
      <c r="C9" s="9">
        <f>B9*8.75</f>
        <v>1652498.75</v>
      </c>
      <c r="D9" s="5">
        <f>B9*0.2269</f>
        <v>42851.6533</v>
      </c>
    </row>
    <row r="10" spans="1:4" ht="12.75">
      <c r="A10" s="11">
        <v>1702</v>
      </c>
      <c r="B10" s="9">
        <v>207753</v>
      </c>
      <c r="C10" s="9">
        <f>B10*8.75</f>
        <v>1817838.75</v>
      </c>
      <c r="D10" s="5">
        <f>B10*0.2269</f>
        <v>47139.155699999996</v>
      </c>
    </row>
    <row r="11" spans="1:4" ht="12.75">
      <c r="A11" s="11">
        <v>1703</v>
      </c>
      <c r="B11" s="9">
        <v>200875</v>
      </c>
      <c r="C11" s="9">
        <f>B11*8.75</f>
        <v>1757656.25</v>
      </c>
      <c r="D11" s="5">
        <f>B11*0.2269</f>
        <v>45578.5375</v>
      </c>
    </row>
    <row r="12" spans="1:4" ht="12.75">
      <c r="A12" s="11">
        <v>1704</v>
      </c>
      <c r="B12" s="9">
        <v>186145</v>
      </c>
      <c r="C12" s="9">
        <f>B12*8.75</f>
        <v>1628768.75</v>
      </c>
      <c r="D12" s="5">
        <f>B12*0.2269</f>
        <v>42236.3005</v>
      </c>
    </row>
    <row r="13" spans="1:4" ht="12.75">
      <c r="A13" s="11"/>
      <c r="B13" s="9"/>
      <c r="C13" s="9"/>
      <c r="D13" s="5"/>
    </row>
    <row r="14" spans="1:4" ht="12.75">
      <c r="A14" s="11" t="s">
        <v>121</v>
      </c>
      <c r="B14" s="9"/>
      <c r="C14" s="9"/>
      <c r="D14" s="5">
        <f>SUM(D8:D13)/5</f>
        <v>45825.45008</v>
      </c>
    </row>
    <row r="15" spans="1:4" ht="12.75">
      <c r="A15" s="11"/>
      <c r="B15" s="9"/>
      <c r="C15" s="9"/>
      <c r="D15" s="5"/>
    </row>
    <row r="16" spans="1:4" ht="12.75">
      <c r="A16" s="11">
        <v>1705</v>
      </c>
      <c r="B16" s="9">
        <v>178087</v>
      </c>
      <c r="C16" s="9">
        <f>B16*8.75</f>
        <v>1558261.25</v>
      </c>
      <c r="D16" s="5">
        <f>B16*0.2269</f>
        <v>40407.940299999995</v>
      </c>
    </row>
    <row r="17" spans="1:4" ht="12.75">
      <c r="A17" s="11">
        <v>1706</v>
      </c>
      <c r="B17" s="9">
        <v>197799</v>
      </c>
      <c r="C17" s="9">
        <f>B17*8.75</f>
        <v>1730741.25</v>
      </c>
      <c r="D17" s="5">
        <f>B17*0.2269</f>
        <v>44880.5931</v>
      </c>
    </row>
    <row r="18" spans="1:4" ht="12.75">
      <c r="A18" s="11">
        <v>1707</v>
      </c>
      <c r="B18" s="9">
        <v>203273</v>
      </c>
      <c r="C18" s="9">
        <f>B18*8.75</f>
        <v>1778638.75</v>
      </c>
      <c r="D18" s="5">
        <f>B18*0.2269</f>
        <v>46122.6437</v>
      </c>
    </row>
    <row r="19" spans="1:4" ht="12.75">
      <c r="A19" s="11">
        <v>1708</v>
      </c>
      <c r="B19" s="9">
        <v>208716</v>
      </c>
      <c r="C19" s="9">
        <f>B19*8.75</f>
        <v>1826265</v>
      </c>
      <c r="D19" s="5">
        <f>B19*0.2269</f>
        <v>47357.6604</v>
      </c>
    </row>
    <row r="20" spans="1:4" ht="12.75">
      <c r="A20" s="11">
        <v>1709</v>
      </c>
      <c r="B20" s="9">
        <v>186352</v>
      </c>
      <c r="C20" s="9">
        <f>B20*8.75</f>
        <v>1630580</v>
      </c>
      <c r="D20" s="5">
        <f>B20*0.2269</f>
        <v>42283.2688</v>
      </c>
    </row>
    <row r="21" spans="1:4" ht="12.75">
      <c r="A21" s="11"/>
      <c r="B21" s="9"/>
      <c r="C21" s="9"/>
      <c r="D21" s="5"/>
    </row>
    <row r="22" spans="1:4" ht="12.75">
      <c r="A22" s="11" t="s">
        <v>125</v>
      </c>
      <c r="B22" s="9"/>
      <c r="C22" s="9"/>
      <c r="D22" s="5">
        <f>SUM(D16:D21)/5</f>
        <v>44210.42125999999</v>
      </c>
    </row>
    <row r="23" spans="1:4" ht="12.75">
      <c r="A23" s="11"/>
      <c r="B23" s="9"/>
      <c r="C23" s="9"/>
      <c r="D23" s="5"/>
    </row>
    <row r="24" spans="1:4" ht="12.75">
      <c r="A24" s="11">
        <v>1710</v>
      </c>
      <c r="B24" s="9">
        <v>172364</v>
      </c>
      <c r="C24" s="9">
        <f>B24*8.75</f>
        <v>1508185</v>
      </c>
      <c r="D24" s="5">
        <f>B24*0.2269</f>
        <v>39109.391599999995</v>
      </c>
    </row>
    <row r="25" spans="1:4" ht="12.75">
      <c r="A25" s="11">
        <v>1711</v>
      </c>
      <c r="B25" s="9">
        <v>137303</v>
      </c>
      <c r="C25" s="9">
        <f>B25*8.75</f>
        <v>1201401.25</v>
      </c>
      <c r="D25" s="5">
        <f>B25*0.2269</f>
        <v>31154.0507</v>
      </c>
    </row>
    <row r="26" spans="1:4" ht="12.75">
      <c r="A26" s="11">
        <v>1712</v>
      </c>
      <c r="B26" s="9">
        <v>114310</v>
      </c>
      <c r="C26" s="9">
        <f>B26*8.75</f>
        <v>1000212.5</v>
      </c>
      <c r="D26" s="5">
        <f>B26*0.2269</f>
        <v>25936.939</v>
      </c>
    </row>
    <row r="27" spans="1:4" ht="12.75">
      <c r="A27" s="11">
        <v>1713</v>
      </c>
      <c r="B27" s="9">
        <v>156317</v>
      </c>
      <c r="C27" s="9">
        <f>B27*8.75</f>
        <v>1367773.75</v>
      </c>
      <c r="D27" s="5">
        <f>B27*0.2269</f>
        <v>35468.3273</v>
      </c>
    </row>
    <row r="28" spans="1:4" ht="12.75">
      <c r="A28" s="11">
        <v>1714</v>
      </c>
      <c r="B28" s="9">
        <v>147868</v>
      </c>
      <c r="C28" s="9">
        <f>B28*8.75</f>
        <v>1293845</v>
      </c>
      <c r="D28" s="5">
        <f>B28*0.2269</f>
        <v>33551.2492</v>
      </c>
    </row>
    <row r="29" spans="1:4" ht="12.75">
      <c r="A29" s="11"/>
      <c r="B29" s="9"/>
      <c r="C29" s="9"/>
      <c r="D29" s="5"/>
    </row>
    <row r="30" spans="1:4" ht="12.75">
      <c r="A30" s="11" t="s">
        <v>127</v>
      </c>
      <c r="B30" s="9"/>
      <c r="C30" s="9"/>
      <c r="D30" s="5">
        <f>SUM(D24:D29)/5</f>
        <v>33043.991559999995</v>
      </c>
    </row>
    <row r="31" spans="1:4" ht="12.75">
      <c r="A31" s="11"/>
      <c r="B31" s="9"/>
      <c r="C31" s="9"/>
      <c r="D31" s="5"/>
    </row>
    <row r="32" spans="1:4" ht="12.75">
      <c r="A32" s="11">
        <v>1715</v>
      </c>
      <c r="B32" s="9">
        <v>127121</v>
      </c>
      <c r="C32" s="9">
        <f>B32*8.75</f>
        <v>1112308.75</v>
      </c>
      <c r="D32" s="5">
        <f>B32*0.2269</f>
        <v>28843.7549</v>
      </c>
    </row>
    <row r="33" spans="1:4" ht="12.75">
      <c r="A33" s="11">
        <v>1716</v>
      </c>
      <c r="B33" s="9">
        <v>133245</v>
      </c>
      <c r="C33" s="9">
        <f>B33*8.75</f>
        <v>1165893.75</v>
      </c>
      <c r="D33" s="5">
        <f>B33*0.2269</f>
        <v>30233.2905</v>
      </c>
    </row>
    <row r="34" spans="1:4" ht="12.75">
      <c r="A34" s="11">
        <v>1717</v>
      </c>
      <c r="B34" s="9">
        <v>198682</v>
      </c>
      <c r="C34" s="9">
        <f>B34*8.75</f>
        <v>1738467.5</v>
      </c>
      <c r="D34" s="5">
        <f>B34*0.2269</f>
        <v>45080.9458</v>
      </c>
    </row>
    <row r="35" spans="1:4" ht="12.75">
      <c r="A35" s="11">
        <v>1718</v>
      </c>
      <c r="B35" s="9">
        <v>179441</v>
      </c>
      <c r="C35" s="9">
        <f>B35*8.75</f>
        <v>1570108.75</v>
      </c>
      <c r="D35" s="5">
        <f>B35*0.2269</f>
        <v>40715.162899999996</v>
      </c>
    </row>
    <row r="36" spans="1:4" ht="12.75">
      <c r="A36" s="11">
        <v>1719</v>
      </c>
      <c r="B36" s="9">
        <v>160492</v>
      </c>
      <c r="C36" s="9">
        <f>B36*8.75</f>
        <v>1404305</v>
      </c>
      <c r="D36" s="5">
        <f>B36*0.2269</f>
        <v>36415.6348</v>
      </c>
    </row>
    <row r="37" spans="1:4" ht="12.75">
      <c r="A37" s="11"/>
      <c r="B37" s="9"/>
      <c r="C37" s="9"/>
      <c r="D37" s="5"/>
    </row>
    <row r="38" spans="1:4" ht="12.75">
      <c r="A38" s="11" t="s">
        <v>131</v>
      </c>
      <c r="B38" s="9"/>
      <c r="C38" s="9"/>
      <c r="D38" s="5">
        <f>SUM(D32:D37)/5</f>
        <v>36257.75778</v>
      </c>
    </row>
    <row r="39" spans="1:4" ht="12.75">
      <c r="A39" s="11"/>
      <c r="B39" s="9"/>
      <c r="C39" s="9"/>
      <c r="D39" s="5"/>
    </row>
    <row r="40" spans="1:4" ht="12.75">
      <c r="A40" s="11">
        <v>1720</v>
      </c>
      <c r="B40" s="9">
        <v>128773</v>
      </c>
      <c r="C40" s="9">
        <f>B40*8.75</f>
        <v>1126763.75</v>
      </c>
      <c r="D40" s="5">
        <f>B40*0.2269</f>
        <v>29218.593699999998</v>
      </c>
    </row>
    <row r="41" spans="1:4" ht="12.75">
      <c r="A41" s="11">
        <v>1721</v>
      </c>
      <c r="B41" s="9">
        <v>127517</v>
      </c>
      <c r="C41" s="9">
        <f>B41*8.75</f>
        <v>1115773.75</v>
      </c>
      <c r="D41" s="5">
        <f>B41*0.2269</f>
        <v>28933.6073</v>
      </c>
    </row>
    <row r="42" spans="1:4" ht="12.75">
      <c r="A42" s="11">
        <v>1722</v>
      </c>
      <c r="B42" s="9">
        <v>127076</v>
      </c>
      <c r="C42" s="9">
        <f>B42*8.75</f>
        <v>1111915</v>
      </c>
      <c r="D42" s="5">
        <f>B42*0.2269</f>
        <v>28833.5444</v>
      </c>
    </row>
    <row r="43" spans="1:4" ht="12.75">
      <c r="A43" s="11">
        <v>1723</v>
      </c>
      <c r="B43" s="9">
        <v>119576</v>
      </c>
      <c r="C43" s="9">
        <f>B43*8.75</f>
        <v>1046290</v>
      </c>
      <c r="D43" s="5">
        <f>B43*0.2269</f>
        <v>27131.7944</v>
      </c>
    </row>
    <row r="44" spans="1:4" ht="12.75">
      <c r="A44" s="11">
        <v>1724</v>
      </c>
      <c r="B44" s="9">
        <v>136868</v>
      </c>
      <c r="C44" s="9">
        <f>B44*8.75</f>
        <v>1197595</v>
      </c>
      <c r="D44" s="5">
        <f>B44*0.2269</f>
        <v>31055.349199999997</v>
      </c>
    </row>
    <row r="45" spans="1:4" ht="12.75">
      <c r="A45" s="11"/>
      <c r="B45" s="9"/>
      <c r="C45" s="9"/>
      <c r="D45" s="5"/>
    </row>
    <row r="46" spans="1:4" ht="12.75">
      <c r="A46" s="11" t="s">
        <v>133</v>
      </c>
      <c r="B46" s="9"/>
      <c r="C46" s="9"/>
      <c r="D46" s="5">
        <f>SUM(D40:D45)/5</f>
        <v>29034.5778</v>
      </c>
    </row>
    <row r="47" spans="1:4" ht="12.75">
      <c r="A47" s="11"/>
      <c r="B47" s="9"/>
      <c r="C47" s="9"/>
      <c r="D47" s="5"/>
    </row>
    <row r="48" spans="1:4" ht="12.75">
      <c r="A48" s="11">
        <v>1725</v>
      </c>
      <c r="B48" s="9">
        <v>124222</v>
      </c>
      <c r="C48" s="9">
        <f>B48*8.75</f>
        <v>1086942.5</v>
      </c>
      <c r="D48" s="5">
        <f>B48*0.2269</f>
        <v>28185.9718</v>
      </c>
    </row>
    <row r="49" spans="1:4" ht="12.75">
      <c r="A49" s="11">
        <v>1726</v>
      </c>
      <c r="B49" s="9">
        <v>152806</v>
      </c>
      <c r="C49" s="9">
        <f>B49*8.75</f>
        <v>1337052.5</v>
      </c>
      <c r="D49" s="5">
        <f>B49*0.2269</f>
        <v>34671.6814</v>
      </c>
    </row>
    <row r="50" spans="1:4" ht="12.75">
      <c r="A50" s="11">
        <v>1727</v>
      </c>
      <c r="B50" s="9">
        <v>159439</v>
      </c>
      <c r="C50" s="9">
        <f>B50*8.75</f>
        <v>1395091.25</v>
      </c>
      <c r="D50" s="5">
        <f>B50*0.2269</f>
        <v>36176.7091</v>
      </c>
    </row>
    <row r="51" spans="1:4" ht="12.75">
      <c r="A51" s="11">
        <v>1728</v>
      </c>
      <c r="B51" s="9">
        <v>178577</v>
      </c>
      <c r="C51" s="9">
        <f>B51*8.75</f>
        <v>1562548.75</v>
      </c>
      <c r="D51" s="5">
        <f>B51*0.2269</f>
        <v>40519.1213</v>
      </c>
    </row>
    <row r="52" spans="1:4" ht="12.75">
      <c r="A52" s="11">
        <v>1729</v>
      </c>
      <c r="B52" s="9">
        <v>200693</v>
      </c>
      <c r="C52" s="9">
        <f>B52*8.75</f>
        <v>1756063.75</v>
      </c>
      <c r="D52" s="5">
        <f>B52*0.2269</f>
        <v>45537.2417</v>
      </c>
    </row>
    <row r="53" spans="1:4" ht="12.75">
      <c r="A53" s="11"/>
      <c r="B53" s="9"/>
      <c r="C53" s="9"/>
      <c r="D53" s="5"/>
    </row>
    <row r="54" spans="1:4" ht="12.75">
      <c r="A54" s="11" t="s">
        <v>137</v>
      </c>
      <c r="B54" s="9"/>
      <c r="C54" s="9"/>
      <c r="D54" s="5">
        <f>SUM(D48:D53)/5</f>
        <v>37018.145059999995</v>
      </c>
    </row>
    <row r="55" spans="1:4" ht="12.75">
      <c r="A55" s="11"/>
      <c r="B55" s="9"/>
      <c r="C55" s="9"/>
      <c r="D55" s="5"/>
    </row>
    <row r="56" spans="1:4" ht="12.75">
      <c r="A56" s="11">
        <v>1730</v>
      </c>
      <c r="B56" s="9">
        <v>168924</v>
      </c>
      <c r="C56" s="9">
        <f>B56*8.75</f>
        <v>1478085</v>
      </c>
      <c r="D56" s="5">
        <f>B56*0.2269</f>
        <v>38328.855599999995</v>
      </c>
    </row>
    <row r="57" spans="1:4" ht="12.75">
      <c r="A57" s="11">
        <v>1731</v>
      </c>
      <c r="B57" s="9">
        <v>163430</v>
      </c>
      <c r="C57" s="9">
        <f>B57*8.75</f>
        <v>1430012.5</v>
      </c>
      <c r="D57" s="5">
        <f>B57*0.2269</f>
        <v>37082.267</v>
      </c>
    </row>
    <row r="58" spans="1:4" ht="12.75">
      <c r="A58" s="11">
        <v>1732</v>
      </c>
      <c r="B58" s="9">
        <v>171583</v>
      </c>
      <c r="C58" s="9">
        <f>B58*8.75</f>
        <v>1501351.25</v>
      </c>
      <c r="D58" s="5">
        <f>B58*0.2269</f>
        <v>38932.1827</v>
      </c>
    </row>
    <row r="59" spans="1:4" ht="12.75">
      <c r="A59" s="11">
        <v>1733</v>
      </c>
      <c r="B59" s="9">
        <v>169707</v>
      </c>
      <c r="C59" s="9">
        <f>B59*8.75</f>
        <v>1484936.25</v>
      </c>
      <c r="D59" s="5">
        <f>B59*0.2269</f>
        <v>38506.518299999996</v>
      </c>
    </row>
    <row r="60" spans="1:4" ht="12.75">
      <c r="A60" s="11">
        <v>1734</v>
      </c>
      <c r="B60" s="9">
        <v>152064</v>
      </c>
      <c r="C60" s="9">
        <f>B60*8.75</f>
        <v>1330560</v>
      </c>
      <c r="D60" s="5">
        <f>B60*0.2269</f>
        <v>34503.321599999996</v>
      </c>
    </row>
    <row r="61" spans="1:4" ht="12.75">
      <c r="A61" s="11"/>
      <c r="B61" s="9"/>
      <c r="C61" s="9"/>
      <c r="D61" s="5"/>
    </row>
    <row r="62" spans="1:4" ht="12.75">
      <c r="A62" s="11" t="s">
        <v>139</v>
      </c>
      <c r="B62" s="9"/>
      <c r="C62" s="9"/>
      <c r="D62" s="5">
        <f>SUM(D56:D61)/5</f>
        <v>37470.62904</v>
      </c>
    </row>
    <row r="63" spans="1:4" ht="12.75">
      <c r="A63" s="11"/>
      <c r="B63" s="9"/>
      <c r="C63" s="9"/>
      <c r="D63" s="5"/>
    </row>
    <row r="64" spans="1:4" ht="12.75">
      <c r="A64" s="11"/>
      <c r="B64" s="9"/>
      <c r="C64" s="9"/>
      <c r="D64" s="5"/>
    </row>
    <row r="65" spans="1:4" ht="12.75">
      <c r="A65" s="11">
        <v>1735</v>
      </c>
      <c r="B65" s="9">
        <v>151250</v>
      </c>
      <c r="C65" s="9">
        <f>B65*8.75</f>
        <v>1323437.5</v>
      </c>
      <c r="D65" s="5">
        <f>B65*0.2269</f>
        <v>34318.625</v>
      </c>
    </row>
    <row r="66" spans="1:4" ht="12.75">
      <c r="A66" s="11"/>
      <c r="B66" s="9"/>
      <c r="C66" s="9"/>
      <c r="D66" s="5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E61"/>
  <sheetViews>
    <sheetView zoomScale="90" zoomScaleNormal="90" zoomScalePageLayoutView="0" workbookViewId="0" topLeftCell="A1">
      <selection activeCell="B8" sqref="B8"/>
    </sheetView>
  </sheetViews>
  <sheetFormatPr defaultColWidth="9.140625" defaultRowHeight="12.75"/>
  <cols>
    <col min="1" max="1" width="8.421875" style="11" customWidth="1"/>
    <col min="2" max="2" width="10.7109375" style="9" customWidth="1"/>
    <col min="3" max="3" width="8.421875" style="17" customWidth="1"/>
    <col min="4" max="4" width="11.8515625" style="15" customWidth="1"/>
    <col min="5" max="5" width="11.7109375" style="5" customWidth="1"/>
  </cols>
  <sheetData>
    <row r="1" spans="1:2" ht="12.75">
      <c r="A1" s="11" t="s">
        <v>3</v>
      </c>
      <c r="B1" s="10" t="s">
        <v>522</v>
      </c>
    </row>
    <row r="2" ht="12.75">
      <c r="B2" s="10" t="s">
        <v>339</v>
      </c>
    </row>
    <row r="5" spans="1:5" ht="12.75">
      <c r="A5" s="11" t="s">
        <v>575</v>
      </c>
      <c r="B5" s="10" t="s">
        <v>408</v>
      </c>
      <c r="C5" s="18" t="s">
        <v>464</v>
      </c>
      <c r="D5" s="16" t="s">
        <v>433</v>
      </c>
      <c r="E5" s="4" t="s">
        <v>388</v>
      </c>
    </row>
    <row r="6" spans="2:5" ht="12.75">
      <c r="B6" s="10" t="s">
        <v>514</v>
      </c>
      <c r="C6" s="18"/>
      <c r="D6" s="16" t="s">
        <v>408</v>
      </c>
      <c r="E6" s="4" t="s">
        <v>302</v>
      </c>
    </row>
    <row r="8" spans="1:5" ht="12.75">
      <c r="A8" s="26">
        <v>1771</v>
      </c>
      <c r="B8" s="27">
        <v>255493</v>
      </c>
      <c r="C8" s="17">
        <v>4.5</v>
      </c>
      <c r="D8" s="15">
        <f aca="true" t="shared" si="0" ref="D8:D39">B8+(C8/8)</f>
        <v>255493.5625</v>
      </c>
      <c r="E8" s="5">
        <f aca="true" t="shared" si="1" ref="E8:E39">D8*0.2269</f>
        <v>57971.48933125</v>
      </c>
    </row>
    <row r="9" spans="1:5" ht="12.75">
      <c r="A9" s="11">
        <v>1772</v>
      </c>
      <c r="B9" s="9">
        <v>241173</v>
      </c>
      <c r="C9" s="17">
        <v>3</v>
      </c>
      <c r="D9" s="15">
        <f t="shared" si="0"/>
        <v>241173.375</v>
      </c>
      <c r="E9" s="5">
        <f t="shared" si="1"/>
        <v>54722.2387875</v>
      </c>
    </row>
    <row r="10" spans="1:5" ht="12.75">
      <c r="A10" s="11">
        <v>1773</v>
      </c>
      <c r="B10" s="9">
        <v>229520</v>
      </c>
      <c r="C10" s="17">
        <v>2.5</v>
      </c>
      <c r="D10" s="15">
        <f t="shared" si="0"/>
        <v>229520.3125</v>
      </c>
      <c r="E10" s="5">
        <f t="shared" si="1"/>
        <v>52078.15890625</v>
      </c>
    </row>
    <row r="11" spans="1:5" ht="12.75">
      <c r="A11" s="11">
        <v>1774</v>
      </c>
      <c r="B11" s="9">
        <v>248874</v>
      </c>
      <c r="C11" s="17">
        <v>7</v>
      </c>
      <c r="D11" s="15">
        <f t="shared" si="0"/>
        <v>248874.875</v>
      </c>
      <c r="E11" s="5">
        <f t="shared" si="1"/>
        <v>56469.709137499995</v>
      </c>
    </row>
    <row r="12" spans="1:5" ht="12.75">
      <c r="A12" s="11">
        <v>1775</v>
      </c>
      <c r="B12" s="9">
        <v>232716</v>
      </c>
      <c r="C12" s="17">
        <v>3.5</v>
      </c>
      <c r="D12" s="15">
        <f t="shared" si="0"/>
        <v>232716.4375</v>
      </c>
      <c r="E12" s="5">
        <f t="shared" si="1"/>
        <v>52803.359668749996</v>
      </c>
    </row>
    <row r="13" spans="1:5" ht="12.75">
      <c r="A13" s="11">
        <v>1776</v>
      </c>
      <c r="B13" s="9">
        <v>274618</v>
      </c>
      <c r="C13" s="17">
        <v>4</v>
      </c>
      <c r="D13" s="15">
        <f t="shared" si="0"/>
        <v>274618.5</v>
      </c>
      <c r="E13" s="5">
        <f t="shared" si="1"/>
        <v>62310.93765</v>
      </c>
    </row>
    <row r="14" spans="1:5" ht="12.75">
      <c r="A14" s="11">
        <v>1777</v>
      </c>
      <c r="B14" s="9">
        <v>246134</v>
      </c>
      <c r="C14" s="17">
        <v>1</v>
      </c>
      <c r="D14" s="15">
        <f t="shared" si="0"/>
        <v>246134.125</v>
      </c>
      <c r="E14" s="5">
        <f t="shared" si="1"/>
        <v>55847.8329625</v>
      </c>
    </row>
    <row r="15" spans="1:5" ht="12.75">
      <c r="A15" s="11">
        <v>1778</v>
      </c>
      <c r="B15" s="9">
        <v>300549</v>
      </c>
      <c r="C15" s="17">
        <v>1.5</v>
      </c>
      <c r="D15" s="15">
        <f t="shared" si="0"/>
        <v>300549.1875</v>
      </c>
      <c r="E15" s="5">
        <f t="shared" si="1"/>
        <v>68194.61064375</v>
      </c>
    </row>
    <row r="16" spans="1:5" ht="12.75">
      <c r="A16" s="11">
        <v>1779</v>
      </c>
      <c r="B16" s="9">
        <v>306608</v>
      </c>
      <c r="C16" s="17">
        <v>2.5</v>
      </c>
      <c r="D16" s="15">
        <f t="shared" si="0"/>
        <v>306608.3125</v>
      </c>
      <c r="E16" s="5">
        <f t="shared" si="1"/>
        <v>69569.42610625</v>
      </c>
    </row>
    <row r="17" spans="1:5" ht="12.75">
      <c r="A17" s="11">
        <v>1780</v>
      </c>
      <c r="B17" s="9">
        <v>369224</v>
      </c>
      <c r="C17" s="17">
        <v>0</v>
      </c>
      <c r="D17" s="15">
        <f t="shared" si="0"/>
        <v>369224</v>
      </c>
      <c r="E17" s="5">
        <f t="shared" si="1"/>
        <v>83776.9256</v>
      </c>
    </row>
    <row r="18" spans="1:5" ht="12.75">
      <c r="A18" s="11">
        <v>1781</v>
      </c>
      <c r="B18" s="9">
        <v>345883</v>
      </c>
      <c r="C18" s="17">
        <v>5</v>
      </c>
      <c r="D18" s="15">
        <f t="shared" si="0"/>
        <v>345883.625</v>
      </c>
      <c r="E18" s="5">
        <f t="shared" si="1"/>
        <v>78480.9945125</v>
      </c>
    </row>
    <row r="19" spans="1:5" ht="12.75">
      <c r="A19" s="11">
        <v>1782</v>
      </c>
      <c r="B19" s="9">
        <v>296106</v>
      </c>
      <c r="C19" s="17">
        <v>0</v>
      </c>
      <c r="D19" s="15">
        <f t="shared" si="0"/>
        <v>296106</v>
      </c>
      <c r="E19" s="5">
        <f t="shared" si="1"/>
        <v>67186.45139999999</v>
      </c>
    </row>
    <row r="20" spans="1:5" ht="12.75">
      <c r="A20" s="11">
        <v>1783</v>
      </c>
      <c r="B20" s="9">
        <v>289345</v>
      </c>
      <c r="C20" s="17">
        <v>7</v>
      </c>
      <c r="D20" s="15">
        <f t="shared" si="0"/>
        <v>289345.875</v>
      </c>
      <c r="E20" s="5">
        <f t="shared" si="1"/>
        <v>65652.57903749999</v>
      </c>
    </row>
    <row r="21" spans="1:5" ht="12.75">
      <c r="A21" s="11">
        <v>1784</v>
      </c>
      <c r="B21" s="9">
        <v>304635</v>
      </c>
      <c r="C21" s="17">
        <v>5</v>
      </c>
      <c r="D21" s="15">
        <f t="shared" si="0"/>
        <v>304635.625</v>
      </c>
      <c r="E21" s="5">
        <f t="shared" si="1"/>
        <v>69121.8233125</v>
      </c>
    </row>
    <row r="22" spans="1:5" ht="12.75">
      <c r="A22" s="11">
        <v>1785</v>
      </c>
      <c r="B22" s="9">
        <v>312641</v>
      </c>
      <c r="C22" s="17">
        <v>2</v>
      </c>
      <c r="D22" s="15">
        <f t="shared" si="0"/>
        <v>312641.25</v>
      </c>
      <c r="E22" s="5">
        <f t="shared" si="1"/>
        <v>70938.299625</v>
      </c>
    </row>
    <row r="23" spans="1:5" ht="12.75">
      <c r="A23" s="11">
        <v>1786</v>
      </c>
      <c r="B23" s="9">
        <v>347834</v>
      </c>
      <c r="C23" s="17">
        <v>4</v>
      </c>
      <c r="D23" s="15">
        <f t="shared" si="0"/>
        <v>347834.5</v>
      </c>
      <c r="E23" s="5">
        <f t="shared" si="1"/>
        <v>78923.64805</v>
      </c>
    </row>
    <row r="24" spans="1:5" ht="12.75">
      <c r="A24" s="11">
        <v>1787</v>
      </c>
      <c r="B24" s="9">
        <v>343109</v>
      </c>
      <c r="C24" s="17">
        <v>1</v>
      </c>
      <c r="D24" s="15">
        <f t="shared" si="0"/>
        <v>343109.125</v>
      </c>
      <c r="E24" s="5">
        <f t="shared" si="1"/>
        <v>77851.46046249999</v>
      </c>
    </row>
    <row r="25" spans="1:5" ht="12.75">
      <c r="A25" s="11">
        <v>1788</v>
      </c>
      <c r="B25" s="9">
        <v>365125</v>
      </c>
      <c r="C25" s="17">
        <v>3</v>
      </c>
      <c r="D25" s="15">
        <f t="shared" si="0"/>
        <v>365125.375</v>
      </c>
      <c r="E25" s="5">
        <f t="shared" si="1"/>
        <v>82846.94758749999</v>
      </c>
    </row>
    <row r="26" spans="1:5" ht="12.75">
      <c r="A26" s="11">
        <v>1789</v>
      </c>
      <c r="B26" s="9">
        <v>384972</v>
      </c>
      <c r="C26" s="17">
        <v>3</v>
      </c>
      <c r="D26" s="15">
        <f t="shared" si="0"/>
        <v>384972.375</v>
      </c>
      <c r="E26" s="5">
        <f t="shared" si="1"/>
        <v>87350.23188749999</v>
      </c>
    </row>
    <row r="27" spans="1:5" ht="12.75">
      <c r="A27" s="11">
        <v>1790</v>
      </c>
      <c r="B27" s="9">
        <v>409319</v>
      </c>
      <c r="C27" s="17">
        <v>6</v>
      </c>
      <c r="D27" s="15">
        <f t="shared" si="0"/>
        <v>409319.75</v>
      </c>
      <c r="E27" s="5">
        <f t="shared" si="1"/>
        <v>92874.651275</v>
      </c>
    </row>
    <row r="28" spans="1:5" ht="12.75">
      <c r="A28" s="11">
        <v>1791</v>
      </c>
      <c r="B28" s="9">
        <v>411545</v>
      </c>
      <c r="C28" s="17">
        <v>7</v>
      </c>
      <c r="D28" s="15">
        <f t="shared" si="0"/>
        <v>411545.875</v>
      </c>
      <c r="E28" s="5">
        <f t="shared" si="1"/>
        <v>93379.7590375</v>
      </c>
    </row>
    <row r="29" spans="1:5" ht="12.75">
      <c r="A29" s="11">
        <v>1792</v>
      </c>
      <c r="B29" s="9">
        <v>513753</v>
      </c>
      <c r="C29" s="17">
        <v>2</v>
      </c>
      <c r="D29" s="15">
        <f t="shared" si="0"/>
        <v>513753.25</v>
      </c>
      <c r="E29" s="5">
        <f t="shared" si="1"/>
        <v>116570.612425</v>
      </c>
    </row>
    <row r="30" spans="1:5" ht="12.75">
      <c r="A30" s="11">
        <v>1793</v>
      </c>
      <c r="B30" s="9">
        <v>499707</v>
      </c>
      <c r="C30" s="17">
        <v>0</v>
      </c>
      <c r="D30" s="15">
        <f t="shared" si="0"/>
        <v>499707</v>
      </c>
      <c r="E30" s="5">
        <f t="shared" si="1"/>
        <v>113383.5183</v>
      </c>
    </row>
    <row r="31" spans="1:5" ht="12.75">
      <c r="A31" s="11">
        <v>1794</v>
      </c>
      <c r="B31" s="9">
        <v>571175</v>
      </c>
      <c r="C31" s="17">
        <v>3</v>
      </c>
      <c r="D31" s="15">
        <f t="shared" si="0"/>
        <v>571175.375</v>
      </c>
      <c r="E31" s="5">
        <f t="shared" si="1"/>
        <v>129599.6925875</v>
      </c>
    </row>
    <row r="32" spans="1:5" ht="12.75">
      <c r="A32" s="11">
        <v>1795</v>
      </c>
      <c r="B32" s="9">
        <v>506346</v>
      </c>
      <c r="C32" s="17">
        <v>6</v>
      </c>
      <c r="D32" s="15">
        <f t="shared" si="0"/>
        <v>506346.75</v>
      </c>
      <c r="E32" s="5">
        <f t="shared" si="1"/>
        <v>114890.07757499999</v>
      </c>
    </row>
    <row r="33" spans="1:5" ht="12.75">
      <c r="A33" s="11">
        <v>1796</v>
      </c>
      <c r="B33" s="9">
        <v>540349</v>
      </c>
      <c r="C33" s="17">
        <v>4</v>
      </c>
      <c r="D33" s="15">
        <f t="shared" si="0"/>
        <v>540349.5</v>
      </c>
      <c r="E33" s="5">
        <f t="shared" si="1"/>
        <v>122605.30154999999</v>
      </c>
    </row>
    <row r="34" spans="1:5" ht="12.75">
      <c r="A34" s="11">
        <v>1797</v>
      </c>
      <c r="B34" s="9">
        <v>513264</v>
      </c>
      <c r="C34" s="17">
        <v>3</v>
      </c>
      <c r="D34" s="15">
        <f t="shared" si="0"/>
        <v>513264.375</v>
      </c>
      <c r="E34" s="5">
        <f t="shared" si="1"/>
        <v>116459.6866875</v>
      </c>
    </row>
    <row r="35" spans="1:5" ht="12.75">
      <c r="A35" s="11">
        <v>1798</v>
      </c>
      <c r="B35" s="9">
        <v>587584</v>
      </c>
      <c r="C35" s="17">
        <v>2</v>
      </c>
      <c r="D35" s="15">
        <f t="shared" si="0"/>
        <v>587584.25</v>
      </c>
      <c r="E35" s="5">
        <f t="shared" si="1"/>
        <v>133322.86632499998</v>
      </c>
    </row>
    <row r="36" spans="1:5" ht="12.75">
      <c r="A36" s="11">
        <v>1799</v>
      </c>
      <c r="B36" s="9">
        <v>636821</v>
      </c>
      <c r="C36" s="17">
        <v>2</v>
      </c>
      <c r="D36" s="15">
        <f t="shared" si="0"/>
        <v>636821.25</v>
      </c>
      <c r="E36" s="5">
        <f t="shared" si="1"/>
        <v>144494.741625</v>
      </c>
    </row>
    <row r="37" spans="1:5" ht="12.75">
      <c r="A37" s="11">
        <v>1800</v>
      </c>
      <c r="B37" s="9">
        <v>525065</v>
      </c>
      <c r="C37" s="17">
        <v>4</v>
      </c>
      <c r="D37" s="15">
        <f t="shared" si="0"/>
        <v>525065.5</v>
      </c>
      <c r="E37" s="5">
        <f t="shared" si="1"/>
        <v>119137.36194999999</v>
      </c>
    </row>
    <row r="38" spans="1:5" ht="12.75">
      <c r="A38" s="11">
        <v>1801</v>
      </c>
      <c r="B38" s="9">
        <v>556396</v>
      </c>
      <c r="C38" s="17">
        <v>5</v>
      </c>
      <c r="D38" s="15">
        <f t="shared" si="0"/>
        <v>556396.625</v>
      </c>
      <c r="E38" s="5">
        <f t="shared" si="1"/>
        <v>126246.39421249999</v>
      </c>
    </row>
    <row r="39" spans="1:5" ht="12.75">
      <c r="A39" s="11">
        <v>1802</v>
      </c>
      <c r="B39" s="9">
        <v>504785</v>
      </c>
      <c r="C39" s="17">
        <v>3</v>
      </c>
      <c r="D39" s="15">
        <f t="shared" si="0"/>
        <v>504785.375</v>
      </c>
      <c r="E39" s="5">
        <f t="shared" si="1"/>
        <v>114535.8015875</v>
      </c>
    </row>
    <row r="40" spans="1:5" ht="12.75">
      <c r="A40" s="11">
        <v>1803</v>
      </c>
      <c r="B40" s="9">
        <v>498163</v>
      </c>
      <c r="C40" s="17">
        <v>5</v>
      </c>
      <c r="D40" s="15">
        <f aca="true" t="shared" si="2" ref="D40:D61">B40+(C40/8)</f>
        <v>498163.625</v>
      </c>
      <c r="E40" s="5">
        <f aca="true" t="shared" si="3" ref="E40:E61">D40*0.2269</f>
        <v>113033.32651249999</v>
      </c>
    </row>
    <row r="41" spans="1:5" ht="12.75">
      <c r="A41" s="11">
        <v>1804</v>
      </c>
      <c r="B41" s="9">
        <v>570444</v>
      </c>
      <c r="C41" s="17">
        <v>6</v>
      </c>
      <c r="D41" s="15">
        <f t="shared" si="2"/>
        <v>570444.75</v>
      </c>
      <c r="E41" s="5">
        <f t="shared" si="3"/>
        <v>129433.913775</v>
      </c>
    </row>
    <row r="42" spans="1:5" ht="12.75">
      <c r="A42" s="11">
        <v>1805</v>
      </c>
      <c r="B42" s="9">
        <v>515150</v>
      </c>
      <c r="C42" s="17">
        <v>0</v>
      </c>
      <c r="D42" s="15">
        <f t="shared" si="2"/>
        <v>515150</v>
      </c>
      <c r="E42" s="5">
        <f t="shared" si="3"/>
        <v>116887.53499999999</v>
      </c>
    </row>
    <row r="43" spans="1:5" ht="12.75">
      <c r="A43" s="11">
        <v>1806</v>
      </c>
      <c r="B43" s="9">
        <v>385957</v>
      </c>
      <c r="C43" s="17">
        <v>7.75</v>
      </c>
      <c r="D43" s="15">
        <f t="shared" si="2"/>
        <v>385957.96875</v>
      </c>
      <c r="E43" s="5">
        <f t="shared" si="3"/>
        <v>87573.863109375</v>
      </c>
    </row>
    <row r="44" spans="1:5" ht="12.75">
      <c r="A44" s="11">
        <v>1807</v>
      </c>
      <c r="B44" s="9">
        <v>423984</v>
      </c>
      <c r="C44" s="17">
        <v>5.75</v>
      </c>
      <c r="D44" s="15">
        <f t="shared" si="2"/>
        <v>423984.71875</v>
      </c>
      <c r="E44" s="5">
        <f t="shared" si="3"/>
        <v>96202.132684375</v>
      </c>
    </row>
    <row r="45" spans="1:5" ht="12.75">
      <c r="A45" s="11">
        <v>1808</v>
      </c>
      <c r="B45" s="9">
        <v>513778</v>
      </c>
      <c r="C45" s="17">
        <v>4</v>
      </c>
      <c r="D45" s="15">
        <f t="shared" si="2"/>
        <v>513778.5</v>
      </c>
      <c r="E45" s="5">
        <f t="shared" si="3"/>
        <v>116576.34165</v>
      </c>
    </row>
    <row r="46" spans="1:5" ht="12.75">
      <c r="A46" s="11">
        <v>1809</v>
      </c>
      <c r="B46" s="9">
        <v>503971</v>
      </c>
      <c r="C46" s="17">
        <v>7</v>
      </c>
      <c r="D46" s="15">
        <f t="shared" si="2"/>
        <v>503971.875</v>
      </c>
      <c r="E46" s="5">
        <f t="shared" si="3"/>
        <v>114351.21843749999</v>
      </c>
    </row>
    <row r="47" spans="1:5" ht="12.75">
      <c r="A47" s="11">
        <v>1810</v>
      </c>
      <c r="B47" s="9">
        <v>464509</v>
      </c>
      <c r="C47" s="17">
        <v>7.25</v>
      </c>
      <c r="D47" s="15">
        <f t="shared" si="2"/>
        <v>464509.90625</v>
      </c>
      <c r="E47" s="5">
        <f t="shared" si="3"/>
        <v>105397.29772812499</v>
      </c>
    </row>
    <row r="48" spans="1:5" ht="12.75">
      <c r="A48" s="11">
        <v>1811</v>
      </c>
      <c r="B48" s="9">
        <v>503122</v>
      </c>
      <c r="C48" s="17">
        <v>3</v>
      </c>
      <c r="D48" s="15">
        <f t="shared" si="2"/>
        <v>503122.375</v>
      </c>
      <c r="E48" s="5">
        <f t="shared" si="3"/>
        <v>114158.46688749999</v>
      </c>
    </row>
    <row r="49" spans="1:5" ht="12.75">
      <c r="A49" s="11">
        <v>1812</v>
      </c>
      <c r="B49" s="9">
        <v>330653</v>
      </c>
      <c r="C49" s="17">
        <v>4</v>
      </c>
      <c r="D49" s="15">
        <f t="shared" si="2"/>
        <v>330653.5</v>
      </c>
      <c r="E49" s="5">
        <f t="shared" si="3"/>
        <v>75025.27915</v>
      </c>
    </row>
    <row r="50" spans="1:5" ht="12.75">
      <c r="A50" s="11">
        <v>1813</v>
      </c>
      <c r="B50" s="9">
        <v>330555</v>
      </c>
      <c r="C50" s="17">
        <v>7</v>
      </c>
      <c r="D50" s="15">
        <f t="shared" si="2"/>
        <v>330555.875</v>
      </c>
      <c r="E50" s="5">
        <f t="shared" si="3"/>
        <v>75003.12803749999</v>
      </c>
    </row>
    <row r="51" spans="1:5" ht="12.75">
      <c r="A51" s="11">
        <v>1814</v>
      </c>
      <c r="B51" s="9">
        <v>231549</v>
      </c>
      <c r="C51" s="17">
        <v>5</v>
      </c>
      <c r="D51" s="15">
        <f t="shared" si="2"/>
        <v>231549.625</v>
      </c>
      <c r="E51" s="5">
        <f t="shared" si="3"/>
        <v>52538.6099125</v>
      </c>
    </row>
    <row r="52" spans="1:5" ht="12.75">
      <c r="A52" s="11">
        <v>1815</v>
      </c>
      <c r="B52" s="9">
        <v>250316</v>
      </c>
      <c r="C52" s="17">
        <v>2.75</v>
      </c>
      <c r="D52" s="15">
        <f t="shared" si="2"/>
        <v>250316.34375</v>
      </c>
      <c r="E52" s="5">
        <f t="shared" si="3"/>
        <v>56796.778396875</v>
      </c>
    </row>
    <row r="53" spans="1:5" ht="12.75">
      <c r="A53" s="11">
        <v>1816</v>
      </c>
      <c r="B53" s="9">
        <v>286784</v>
      </c>
      <c r="C53" s="17">
        <v>7.75</v>
      </c>
      <c r="D53" s="15">
        <f t="shared" si="2"/>
        <v>286784.96875</v>
      </c>
      <c r="E53" s="5">
        <f t="shared" si="3"/>
        <v>65071.509409374994</v>
      </c>
    </row>
    <row r="54" spans="1:5" ht="12.75">
      <c r="A54" s="11">
        <v>1817</v>
      </c>
      <c r="B54" s="9">
        <v>245832</v>
      </c>
      <c r="C54" s="17">
        <v>0.5</v>
      </c>
      <c r="D54" s="15">
        <f t="shared" si="2"/>
        <v>245832.0625</v>
      </c>
      <c r="E54" s="5">
        <f t="shared" si="3"/>
        <v>55779.29498125</v>
      </c>
    </row>
    <row r="55" spans="1:5" ht="12.75">
      <c r="A55" s="11">
        <v>1818</v>
      </c>
      <c r="B55" s="9">
        <v>282383</v>
      </c>
      <c r="C55" s="17">
        <v>7.5</v>
      </c>
      <c r="D55" s="15">
        <f t="shared" si="2"/>
        <v>282383.9375</v>
      </c>
      <c r="E55" s="5">
        <f t="shared" si="3"/>
        <v>64072.915418749995</v>
      </c>
    </row>
    <row r="56" spans="1:5" ht="12.75">
      <c r="A56" s="11">
        <v>1819</v>
      </c>
      <c r="B56" s="9">
        <v>287832</v>
      </c>
      <c r="C56" s="17">
        <v>7</v>
      </c>
      <c r="D56" s="15">
        <f t="shared" si="2"/>
        <v>287832.875</v>
      </c>
      <c r="E56" s="5">
        <f t="shared" si="3"/>
        <v>65309.2793375</v>
      </c>
    </row>
    <row r="57" spans="1:5" ht="12.75">
      <c r="A57" s="11">
        <v>1820</v>
      </c>
      <c r="B57" s="9">
        <v>476508</v>
      </c>
      <c r="C57" s="17">
        <v>7</v>
      </c>
      <c r="D57" s="15">
        <f t="shared" si="2"/>
        <v>476508.875</v>
      </c>
      <c r="E57" s="5">
        <f t="shared" si="3"/>
        <v>108119.8637375</v>
      </c>
    </row>
    <row r="58" spans="1:5" ht="12.75">
      <c r="A58" s="11">
        <v>1821</v>
      </c>
      <c r="B58" s="9">
        <v>118781</v>
      </c>
      <c r="C58" s="17">
        <v>4</v>
      </c>
      <c r="D58" s="15">
        <f t="shared" si="2"/>
        <v>118781.5</v>
      </c>
      <c r="E58" s="5">
        <f t="shared" si="3"/>
        <v>26951.52235</v>
      </c>
    </row>
    <row r="59" spans="1:5" ht="12.75">
      <c r="A59" s="11">
        <v>1822</v>
      </c>
      <c r="B59" s="9">
        <v>104181</v>
      </c>
      <c r="C59" s="17">
        <v>3</v>
      </c>
      <c r="D59" s="15">
        <f t="shared" si="2"/>
        <v>104181.375</v>
      </c>
      <c r="E59" s="5">
        <f t="shared" si="3"/>
        <v>23638.7539875</v>
      </c>
    </row>
    <row r="60" spans="1:5" ht="12.75">
      <c r="A60" s="11">
        <v>1823</v>
      </c>
      <c r="B60" s="9">
        <v>37807</v>
      </c>
      <c r="C60" s="17">
        <v>6.25</v>
      </c>
      <c r="D60" s="15">
        <f t="shared" si="2"/>
        <v>37807.78125</v>
      </c>
      <c r="E60" s="5">
        <f t="shared" si="3"/>
        <v>8578.585565625</v>
      </c>
    </row>
    <row r="61" spans="1:5" ht="12.75">
      <c r="A61" s="11">
        <v>1824</v>
      </c>
      <c r="B61" s="9">
        <v>68467</v>
      </c>
      <c r="C61" s="17">
        <v>4</v>
      </c>
      <c r="D61" s="15">
        <f t="shared" si="2"/>
        <v>68467.5</v>
      </c>
      <c r="E61" s="5">
        <f t="shared" si="3"/>
        <v>15535.275749999999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9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11" customWidth="1"/>
    <col min="2" max="2" width="12.7109375" style="0" customWidth="1"/>
    <col min="3" max="3" width="10.140625" style="0" customWidth="1"/>
    <col min="4" max="6" width="12.140625" style="0" customWidth="1"/>
    <col min="7" max="7" width="17.140625" style="0" customWidth="1"/>
    <col min="8" max="8" width="15.421875" style="0" customWidth="1"/>
  </cols>
  <sheetData>
    <row r="1" ht="12.75">
      <c r="B1" s="1" t="s">
        <v>520</v>
      </c>
    </row>
    <row r="2" ht="12.75">
      <c r="B2" s="1" t="s">
        <v>16</v>
      </c>
    </row>
    <row r="4" spans="1:8" ht="12.75">
      <c r="A4" s="11" t="s">
        <v>575</v>
      </c>
      <c r="B4" s="4" t="s">
        <v>505</v>
      </c>
      <c r="C4" s="4" t="s">
        <v>505</v>
      </c>
      <c r="D4" s="4" t="s">
        <v>505</v>
      </c>
      <c r="E4" s="4" t="s">
        <v>537</v>
      </c>
      <c r="F4" s="4" t="s">
        <v>537</v>
      </c>
      <c r="G4" s="4" t="s">
        <v>244</v>
      </c>
      <c r="H4" s="4" t="s">
        <v>524</v>
      </c>
    </row>
    <row r="5" spans="2:8" ht="12.75">
      <c r="B5" s="4" t="s">
        <v>508</v>
      </c>
      <c r="C5" s="4" t="s">
        <v>209</v>
      </c>
      <c r="D5" s="4" t="s">
        <v>407</v>
      </c>
      <c r="E5" s="4" t="s">
        <v>316</v>
      </c>
      <c r="F5" s="4" t="s">
        <v>275</v>
      </c>
      <c r="G5" s="4" t="s">
        <v>363</v>
      </c>
      <c r="H5" s="10" t="s">
        <v>309</v>
      </c>
    </row>
    <row r="6" spans="2:8" ht="12.75">
      <c r="B6" s="4" t="s">
        <v>384</v>
      </c>
      <c r="C6" s="4" t="s">
        <v>384</v>
      </c>
      <c r="D6" s="4" t="s">
        <v>384</v>
      </c>
      <c r="E6" s="4" t="s">
        <v>384</v>
      </c>
      <c r="F6" s="4" t="s">
        <v>384</v>
      </c>
      <c r="G6" s="4" t="s">
        <v>331</v>
      </c>
      <c r="H6" s="4" t="s">
        <v>384</v>
      </c>
    </row>
    <row r="8" spans="1:2" ht="12.75">
      <c r="A8" s="11">
        <v>1471</v>
      </c>
      <c r="B8" s="5">
        <v>2901.0544</v>
      </c>
    </row>
    <row r="9" spans="1:2" ht="12.75">
      <c r="A9" s="11">
        <v>1472</v>
      </c>
      <c r="B9" s="5">
        <v>6925.0976</v>
      </c>
    </row>
    <row r="10" spans="1:2" ht="12.75">
      <c r="A10" s="11">
        <v>1473</v>
      </c>
      <c r="B10" s="5">
        <v>1122.9888</v>
      </c>
    </row>
    <row r="11" spans="1:2" ht="12.75">
      <c r="A11" s="11">
        <v>1474</v>
      </c>
      <c r="B11" s="5">
        <v>7767.3392</v>
      </c>
    </row>
    <row r="12" spans="1:2" ht="12.75">
      <c r="A12" s="11">
        <v>1475</v>
      </c>
      <c r="B12" s="5">
        <v>3088.2192</v>
      </c>
    </row>
    <row r="13" spans="1:2" ht="12.75">
      <c r="A13" s="11">
        <v>1476</v>
      </c>
      <c r="B13" s="5">
        <v>8983.9104</v>
      </c>
    </row>
    <row r="14" spans="1:2" ht="12.75">
      <c r="A14" s="11">
        <v>1477</v>
      </c>
      <c r="B14" s="5">
        <v>18061.4032</v>
      </c>
    </row>
    <row r="15" spans="1:2" ht="12.75">
      <c r="A15" s="11">
        <v>1478</v>
      </c>
      <c r="B15" s="5">
        <v>7322.8228</v>
      </c>
    </row>
    <row r="16" spans="1:2" ht="12.75">
      <c r="A16" s="11">
        <v>1479</v>
      </c>
      <c r="B16" s="5">
        <v>5708.5264</v>
      </c>
    </row>
    <row r="17" spans="1:2" ht="12.75">
      <c r="A17" s="11">
        <v>1480</v>
      </c>
      <c r="B17" s="5">
        <v>11510.6352</v>
      </c>
    </row>
    <row r="18" spans="1:2" ht="12.75">
      <c r="A18" s="11">
        <v>1481</v>
      </c>
      <c r="B18" s="5">
        <v>2433.1424</v>
      </c>
    </row>
    <row r="19" spans="1:2" ht="12.75">
      <c r="A19" s="11">
        <v>1482</v>
      </c>
      <c r="B19" s="5">
        <v>3556.1312</v>
      </c>
    </row>
    <row r="20" spans="1:2" ht="12.75">
      <c r="A20" s="11">
        <v>1483</v>
      </c>
      <c r="B20" s="5">
        <v>2807.4719999999998</v>
      </c>
    </row>
    <row r="21" spans="1:2" ht="12.75">
      <c r="A21" s="11">
        <v>1484</v>
      </c>
      <c r="B21" s="5">
        <v>6550.768</v>
      </c>
    </row>
    <row r="22" spans="1:2" ht="12.75">
      <c r="A22" s="11">
        <v>1485</v>
      </c>
      <c r="B22" s="5">
        <v>1403.7359999999999</v>
      </c>
    </row>
    <row r="23" spans="1:2" ht="12.75">
      <c r="A23" s="11">
        <v>1486</v>
      </c>
      <c r="B23" s="5">
        <v>3088.2192</v>
      </c>
    </row>
    <row r="24" spans="1:2" ht="12.75">
      <c r="A24" s="11">
        <v>1487</v>
      </c>
      <c r="B24" s="5">
        <v>1965.2304</v>
      </c>
    </row>
    <row r="25" spans="1:2" ht="12.75">
      <c r="A25" s="11">
        <v>1488</v>
      </c>
      <c r="B25" s="5">
        <v>2058.8128</v>
      </c>
    </row>
    <row r="26" spans="1:2" ht="12.75">
      <c r="A26" s="11">
        <v>1489</v>
      </c>
      <c r="B26" s="5">
        <v>842.2416</v>
      </c>
    </row>
    <row r="27" spans="1:2" ht="12.75">
      <c r="A27" s="11">
        <v>1490</v>
      </c>
      <c r="B27" s="5">
        <v>1965.2304</v>
      </c>
    </row>
    <row r="28" spans="1:2" ht="12.75">
      <c r="A28" s="11">
        <v>1491</v>
      </c>
      <c r="B28" s="5">
        <v>3181.8016</v>
      </c>
    </row>
    <row r="29" spans="1:3" ht="12.75">
      <c r="A29" s="11">
        <v>1492</v>
      </c>
      <c r="B29" s="5">
        <v>2526.7248</v>
      </c>
      <c r="C29" s="5">
        <v>187.16479999999999</v>
      </c>
    </row>
    <row r="30" spans="1:3" ht="12.75">
      <c r="A30" s="11">
        <v>1493</v>
      </c>
      <c r="B30" s="5">
        <v>2058.8128</v>
      </c>
      <c r="C30" s="5">
        <v>93.58239999999999</v>
      </c>
    </row>
    <row r="31" spans="1:8" ht="12.75">
      <c r="A31" s="11">
        <v>1494</v>
      </c>
      <c r="B31" s="5">
        <v>2152.3952</v>
      </c>
      <c r="C31" s="5">
        <v>210.5604</v>
      </c>
      <c r="H31" s="5">
        <v>13111.274479101845</v>
      </c>
    </row>
    <row r="32" spans="1:8" ht="12.75">
      <c r="A32" s="11">
        <v>1495</v>
      </c>
      <c r="B32" s="5">
        <v>3626.3179999999998</v>
      </c>
      <c r="C32" s="5">
        <v>608.2856</v>
      </c>
      <c r="H32" s="5">
        <v>13111.274479101845</v>
      </c>
    </row>
    <row r="33" spans="1:8" ht="12.75">
      <c r="A33" s="11">
        <v>1496</v>
      </c>
      <c r="B33" s="5">
        <v>2152.3952</v>
      </c>
      <c r="C33" s="5">
        <v>538.0988</v>
      </c>
      <c r="H33" s="5">
        <v>13111.274479101845</v>
      </c>
    </row>
    <row r="34" spans="1:8" ht="12.75">
      <c r="A34" s="11">
        <v>1497</v>
      </c>
      <c r="B34" s="5">
        <v>1450.5272</v>
      </c>
      <c r="C34" s="5">
        <v>2245.9776</v>
      </c>
      <c r="H34" s="5">
        <v>13111.274479101845</v>
      </c>
    </row>
    <row r="35" spans="1:8" ht="12.75">
      <c r="A35" s="11">
        <v>1498</v>
      </c>
      <c r="B35" s="5">
        <v>1684.4832</v>
      </c>
      <c r="C35" s="5">
        <v>2807.4719999999998</v>
      </c>
      <c r="H35" s="5">
        <v>13111.274479101845</v>
      </c>
    </row>
    <row r="36" spans="1:8" ht="12.75">
      <c r="A36" s="11">
        <v>1499</v>
      </c>
      <c r="B36" s="5">
        <v>1778.0656</v>
      </c>
      <c r="C36" s="5">
        <v>3111.6148</v>
      </c>
      <c r="H36" s="5">
        <v>13111.274479101845</v>
      </c>
    </row>
    <row r="37" spans="1:8" ht="12.75">
      <c r="A37" s="11">
        <v>1500</v>
      </c>
      <c r="B37" s="5">
        <v>1029.4064</v>
      </c>
      <c r="C37" s="5">
        <v>2901.0544</v>
      </c>
      <c r="H37" s="5">
        <v>13111.274479101845</v>
      </c>
    </row>
    <row r="38" spans="1:8" ht="12.75">
      <c r="A38" s="11">
        <v>1501</v>
      </c>
      <c r="B38" s="5">
        <v>1497.3183999999999</v>
      </c>
      <c r="C38" s="5">
        <v>6246.6251999999995</v>
      </c>
      <c r="H38" s="5">
        <v>13111.274479101845</v>
      </c>
    </row>
    <row r="39" spans="1:8" ht="12.75">
      <c r="A39" s="11">
        <v>1502</v>
      </c>
      <c r="B39" s="5">
        <v>1965.2304</v>
      </c>
      <c r="C39" s="5">
        <v>5895.6912</v>
      </c>
      <c r="H39" s="5">
        <v>13111.274479101845</v>
      </c>
    </row>
    <row r="40" spans="1:8" ht="12.75">
      <c r="A40" s="11">
        <v>1503</v>
      </c>
      <c r="B40" s="5">
        <v>1590.9008</v>
      </c>
      <c r="C40" s="5">
        <v>6433.79</v>
      </c>
      <c r="H40" s="5">
        <v>13111.274479101845</v>
      </c>
    </row>
    <row r="41" spans="1:8" ht="12.75">
      <c r="A41" s="11">
        <v>1504</v>
      </c>
      <c r="B41" s="5">
        <v>2292.7688</v>
      </c>
      <c r="C41" s="5">
        <v>5427.7792</v>
      </c>
      <c r="H41" s="5">
        <v>28408.05512221583</v>
      </c>
    </row>
    <row r="42" spans="1:8" ht="12.75">
      <c r="A42" s="11">
        <v>1505</v>
      </c>
      <c r="B42" s="5">
        <v>2152.3952</v>
      </c>
      <c r="C42" s="5">
        <v>5240.6144</v>
      </c>
      <c r="H42" s="5">
        <v>28408.05512221583</v>
      </c>
    </row>
    <row r="43" spans="1:8" ht="12.75">
      <c r="A43" s="11">
        <v>1506</v>
      </c>
      <c r="B43" s="5">
        <v>1684.4832</v>
      </c>
      <c r="C43" s="5">
        <v>4866.2848</v>
      </c>
      <c r="E43" s="5">
        <v>70.2803824</v>
      </c>
      <c r="F43" s="5">
        <v>4304.0651364000005</v>
      </c>
      <c r="H43" s="5">
        <v>28408.05512221583</v>
      </c>
    </row>
    <row r="44" spans="1:8" ht="12.75">
      <c r="A44" s="11">
        <v>1507</v>
      </c>
      <c r="B44" s="5">
        <v>1661.0876</v>
      </c>
      <c r="C44" s="5">
        <v>4445.164</v>
      </c>
      <c r="E44" s="5"/>
      <c r="F44" s="5"/>
      <c r="H44" s="5">
        <v>24935.920329390094</v>
      </c>
    </row>
    <row r="45" spans="1:8" ht="12.75">
      <c r="A45" s="11">
        <v>1508</v>
      </c>
      <c r="B45" s="5">
        <v>1169.78</v>
      </c>
      <c r="C45" s="5">
        <v>4304.7904</v>
      </c>
      <c r="E45" s="5">
        <v>75.6379748</v>
      </c>
      <c r="F45" s="5">
        <v>4747.6457124</v>
      </c>
      <c r="H45" s="5">
        <v>24935.920329390094</v>
      </c>
    </row>
    <row r="46" spans="1:8" ht="12.75">
      <c r="A46" s="11">
        <v>1509</v>
      </c>
      <c r="B46" s="5">
        <v>1520.714</v>
      </c>
      <c r="C46" s="5">
        <v>4772.7024</v>
      </c>
      <c r="E46" s="5">
        <v>69.71888799999999</v>
      </c>
      <c r="F46" s="5">
        <v>4276.7390755999995</v>
      </c>
      <c r="H46" s="5">
        <v>24935.920329390094</v>
      </c>
    </row>
    <row r="47" spans="1:8" ht="12.75">
      <c r="A47" s="11">
        <v>1510</v>
      </c>
      <c r="B47" s="5">
        <v>1216.5712</v>
      </c>
      <c r="C47" s="5">
        <v>4866.2848</v>
      </c>
      <c r="E47" s="5"/>
      <c r="F47" s="5"/>
      <c r="H47" s="5">
        <v>30459.610908433675</v>
      </c>
    </row>
    <row r="48" spans="1:8" ht="12.75">
      <c r="A48" s="11">
        <v>1511</v>
      </c>
      <c r="B48" s="5">
        <v>1637.692</v>
      </c>
      <c r="C48" s="5">
        <v>4070.8343999999997</v>
      </c>
      <c r="E48" s="5"/>
      <c r="F48" s="5"/>
      <c r="H48" s="5">
        <v>30459.610908433675</v>
      </c>
    </row>
    <row r="49" spans="1:8" ht="12.75">
      <c r="A49" s="11">
        <v>1512</v>
      </c>
      <c r="B49" s="5">
        <v>2994.6367999999998</v>
      </c>
      <c r="C49" s="5">
        <v>4024.0432</v>
      </c>
      <c r="E49" s="5">
        <v>184.6848664</v>
      </c>
      <c r="F49" s="5">
        <v>5444.9515704000005</v>
      </c>
      <c r="H49" s="5">
        <v>30459.610908433675</v>
      </c>
    </row>
    <row r="50" spans="1:8" ht="12.75">
      <c r="A50" s="11">
        <v>1513</v>
      </c>
      <c r="B50" s="5">
        <v>1216.5712</v>
      </c>
      <c r="C50" s="5">
        <v>6831.5152</v>
      </c>
      <c r="E50" s="5">
        <v>193.5284032</v>
      </c>
      <c r="F50" s="5">
        <v>5706.0932576</v>
      </c>
      <c r="H50" s="5">
        <v>20247.657106589864</v>
      </c>
    </row>
    <row r="51" spans="1:8" ht="12.75">
      <c r="A51" s="11">
        <v>1514</v>
      </c>
      <c r="B51" s="5">
        <v>1052.802</v>
      </c>
      <c r="C51" s="5">
        <v>5427.7792</v>
      </c>
      <c r="E51" s="5">
        <v>187.16479999999999</v>
      </c>
      <c r="F51" s="5">
        <v>5666.180364</v>
      </c>
      <c r="H51" s="5">
        <v>20247.657106589864</v>
      </c>
    </row>
    <row r="52" spans="1:8" ht="12.75">
      <c r="A52" s="11">
        <v>1515</v>
      </c>
      <c r="B52" s="5">
        <v>1216.5712</v>
      </c>
      <c r="C52" s="5">
        <v>2386.3512</v>
      </c>
      <c r="E52" s="5">
        <v>194.18348</v>
      </c>
      <c r="F52" s="5">
        <v>5681.4576908</v>
      </c>
      <c r="H52" s="5">
        <v>20247.657106589864</v>
      </c>
    </row>
    <row r="53" spans="1:8" ht="12.75">
      <c r="A53" s="11">
        <v>1516</v>
      </c>
      <c r="B53" s="5">
        <v>1193.1756</v>
      </c>
      <c r="C53" s="5">
        <v>2433.1424</v>
      </c>
      <c r="E53" s="5"/>
      <c r="F53" s="5"/>
      <c r="G53" s="5">
        <v>47.549512920000005</v>
      </c>
      <c r="H53" s="5">
        <v>11036.806128261293</v>
      </c>
    </row>
    <row r="54" spans="1:8" ht="12.75">
      <c r="A54" s="11">
        <v>1517</v>
      </c>
      <c r="B54" s="5">
        <v>1356.9448</v>
      </c>
      <c r="C54" s="5">
        <v>6082.856</v>
      </c>
      <c r="E54" s="5"/>
      <c r="F54" s="5"/>
      <c r="G54" s="5">
        <v>984.08941176</v>
      </c>
      <c r="H54" s="5">
        <v>11036.806128261293</v>
      </c>
    </row>
    <row r="55" spans="1:8" ht="12.75">
      <c r="A55" s="11">
        <v>1518</v>
      </c>
      <c r="B55" s="5">
        <v>1076.1976</v>
      </c>
      <c r="C55" s="5">
        <v>3836.8784</v>
      </c>
      <c r="E55" s="5"/>
      <c r="F55" s="5"/>
      <c r="G55" s="5">
        <v>3614.61333324</v>
      </c>
      <c r="H55" s="5">
        <v>11036.806128261293</v>
      </c>
    </row>
    <row r="56" spans="1:8" ht="12.75">
      <c r="A56" s="11">
        <v>1519</v>
      </c>
      <c r="B56" s="5">
        <v>865.6372</v>
      </c>
      <c r="C56" s="5">
        <v>2807.4719999999998</v>
      </c>
      <c r="E56" s="5">
        <v>192.42881</v>
      </c>
      <c r="F56" s="5">
        <v>6033.72524</v>
      </c>
      <c r="G56" s="5">
        <v>6214.56389736</v>
      </c>
      <c r="H56" s="5">
        <v>16657.434480708635</v>
      </c>
    </row>
    <row r="57" spans="1:8" ht="12.75">
      <c r="A57" s="11">
        <v>1520</v>
      </c>
      <c r="B57" s="5">
        <v>889.0328</v>
      </c>
      <c r="C57" s="5">
        <v>2713.8896</v>
      </c>
      <c r="E57" s="5"/>
      <c r="F57" s="5"/>
      <c r="G57" s="5">
        <v>8989.17044844</v>
      </c>
      <c r="H57" s="5">
        <v>16657.434480708635</v>
      </c>
    </row>
    <row r="58" spans="1:8" ht="12.75">
      <c r="A58" s="11">
        <v>1521</v>
      </c>
      <c r="B58" s="5">
        <v>538.0988</v>
      </c>
      <c r="C58" s="5">
        <v>2971.2412</v>
      </c>
      <c r="E58" s="5"/>
      <c r="F58" s="5"/>
      <c r="G58" s="5">
        <v>9358.761757799999</v>
      </c>
      <c r="H58" s="5">
        <v>16657.434480708635</v>
      </c>
    </row>
    <row r="59" spans="1:8" ht="12.75">
      <c r="A59" s="11">
        <v>1522</v>
      </c>
      <c r="B59" s="5">
        <v>678.4724</v>
      </c>
      <c r="C59" s="5">
        <v>2526.7248</v>
      </c>
      <c r="E59" s="5">
        <v>204.7582912</v>
      </c>
      <c r="F59" s="5">
        <v>5605.702738</v>
      </c>
      <c r="G59" s="5">
        <v>8318.20957968</v>
      </c>
      <c r="H59" s="5">
        <v>16657.434480708635</v>
      </c>
    </row>
    <row r="60" spans="1:8" ht="12.75">
      <c r="A60" s="11">
        <v>1523</v>
      </c>
      <c r="B60" s="5">
        <v>467.912</v>
      </c>
      <c r="C60" s="5">
        <v>2292.7688</v>
      </c>
      <c r="E60" s="5">
        <v>202.9100388</v>
      </c>
      <c r="F60" s="5">
        <v>5544.4764528</v>
      </c>
      <c r="G60" s="5">
        <v>9900.070711440001</v>
      </c>
      <c r="H60" s="5">
        <v>16657.434480708635</v>
      </c>
    </row>
    <row r="61" spans="1:8" ht="12.75">
      <c r="A61" s="11">
        <v>1524</v>
      </c>
      <c r="B61" s="5">
        <v>210.5604</v>
      </c>
      <c r="C61" s="5">
        <v>2854.2632</v>
      </c>
      <c r="D61" s="5">
        <v>93.58239999999999</v>
      </c>
      <c r="E61" s="5">
        <v>244.367042</v>
      </c>
      <c r="F61" s="5">
        <v>6690.275962799999</v>
      </c>
      <c r="G61" s="5">
        <v>11572.616338920001</v>
      </c>
      <c r="H61" s="5">
        <v>16657.434480708635</v>
      </c>
    </row>
    <row r="62" spans="1:8" ht="12.75">
      <c r="A62" s="11">
        <v>1525</v>
      </c>
      <c r="B62" s="5">
        <v>467.912</v>
      </c>
      <c r="C62" s="5">
        <v>2433.1424</v>
      </c>
      <c r="D62" s="5">
        <v>93.58239999999999</v>
      </c>
      <c r="E62" s="5"/>
      <c r="F62" s="5"/>
      <c r="G62" s="5">
        <v>9366.5215644</v>
      </c>
      <c r="H62" s="5">
        <v>16657.434480708635</v>
      </c>
    </row>
    <row r="63" spans="1:8" ht="12.75">
      <c r="A63" s="11">
        <v>1526</v>
      </c>
      <c r="B63" s="5">
        <v>655.0768</v>
      </c>
      <c r="C63" s="5">
        <v>2690.494</v>
      </c>
      <c r="D63" s="5">
        <v>93.58239999999999</v>
      </c>
      <c r="E63" s="5">
        <v>283.1569468</v>
      </c>
      <c r="F63" s="5">
        <v>8131.5151096</v>
      </c>
      <c r="G63" s="5">
        <v>13777.950568200002</v>
      </c>
      <c r="H63" s="5">
        <v>15201.605374681196</v>
      </c>
    </row>
    <row r="64" spans="1:8" ht="12.75">
      <c r="A64" s="11">
        <v>1527</v>
      </c>
      <c r="B64" s="5">
        <v>467.912</v>
      </c>
      <c r="C64" s="5">
        <v>2222.582</v>
      </c>
      <c r="D64" s="5">
        <v>93.58239999999999</v>
      </c>
      <c r="E64" s="5">
        <v>284.2331444</v>
      </c>
      <c r="F64" s="5">
        <v>7781.7508896</v>
      </c>
      <c r="G64" s="5">
        <v>15838.77278256</v>
      </c>
      <c r="H64" s="5">
        <v>15201.605374681196</v>
      </c>
    </row>
    <row r="65" spans="1:8" ht="12.75">
      <c r="A65" s="11">
        <v>1528</v>
      </c>
      <c r="B65" s="5">
        <v>280.7472</v>
      </c>
      <c r="C65" s="5">
        <v>2152.3952</v>
      </c>
      <c r="D65" s="5">
        <v>93.58239999999999</v>
      </c>
      <c r="E65" s="5"/>
      <c r="F65" s="5"/>
      <c r="G65" s="5">
        <v>14978.716793040001</v>
      </c>
      <c r="H65" s="5">
        <v>15201.605374681196</v>
      </c>
    </row>
    <row r="66" spans="1:8" ht="12.75">
      <c r="A66" s="11">
        <v>1529</v>
      </c>
      <c r="B66" s="5">
        <v>374.32959999999997</v>
      </c>
      <c r="C66" s="5">
        <v>2433.1424</v>
      </c>
      <c r="D66" s="5">
        <v>210.5604</v>
      </c>
      <c r="E66" s="5">
        <v>273.72852</v>
      </c>
      <c r="F66" s="5">
        <v>7381.3117999999995</v>
      </c>
      <c r="G66" s="5">
        <v>12154.14719064</v>
      </c>
      <c r="H66" s="5">
        <v>15201.605374681196</v>
      </c>
    </row>
    <row r="67" spans="1:8" ht="12.75">
      <c r="A67" s="11">
        <v>1530</v>
      </c>
      <c r="B67" s="5">
        <v>818.846</v>
      </c>
      <c r="C67" s="5">
        <v>2456.538</v>
      </c>
      <c r="D67" s="5">
        <v>397.7252</v>
      </c>
      <c r="E67" s="5"/>
      <c r="F67" s="5"/>
      <c r="G67" s="5">
        <v>12227.03043744</v>
      </c>
      <c r="H67" s="5">
        <v>15201.605374681196</v>
      </c>
    </row>
    <row r="68" spans="1:8" ht="12.75">
      <c r="A68" s="11">
        <v>1531</v>
      </c>
      <c r="B68" s="5">
        <v>865.6372</v>
      </c>
      <c r="C68" s="5">
        <v>2994.6367999999998</v>
      </c>
      <c r="D68" s="5">
        <v>631.6812</v>
      </c>
      <c r="E68" s="5"/>
      <c r="F68" s="5"/>
      <c r="G68" s="5">
        <v>14175.5248908</v>
      </c>
      <c r="H68" s="5">
        <v>15201.605374681196</v>
      </c>
    </row>
    <row r="69" spans="1:8" ht="12.75">
      <c r="A69" s="11">
        <v>1532</v>
      </c>
      <c r="B69" s="5">
        <v>584.89</v>
      </c>
      <c r="C69" s="5">
        <v>1637.692</v>
      </c>
      <c r="D69" s="5">
        <v>935.824</v>
      </c>
      <c r="F69" s="5"/>
      <c r="G69" s="5">
        <v>17691.60972852</v>
      </c>
      <c r="H69" s="5">
        <v>15201.605374681196</v>
      </c>
    </row>
    <row r="70" spans="1:8" ht="12.75">
      <c r="A70" s="11">
        <v>1533</v>
      </c>
      <c r="B70" s="5">
        <v>491.3076</v>
      </c>
      <c r="C70" s="5">
        <v>2643.7028</v>
      </c>
      <c r="D70" s="5">
        <v>655.0768</v>
      </c>
      <c r="F70" s="5">
        <v>6300.902992</v>
      </c>
      <c r="G70" s="5">
        <v>20130.243315</v>
      </c>
      <c r="H70" s="5">
        <v>15201.605374681196</v>
      </c>
    </row>
    <row r="71" spans="1:8" ht="12.75">
      <c r="A71" s="11">
        <v>1534</v>
      </c>
      <c r="B71" s="5">
        <v>1707.8788</v>
      </c>
      <c r="C71" s="5">
        <v>4585.5376</v>
      </c>
      <c r="D71" s="5">
        <v>374.32959999999997</v>
      </c>
      <c r="F71" s="5"/>
      <c r="G71" s="5">
        <v>17152.68624888</v>
      </c>
      <c r="H71" s="5">
        <v>15201.605374681196</v>
      </c>
    </row>
    <row r="72" spans="1:8" ht="12.75">
      <c r="A72" s="11">
        <v>1535</v>
      </c>
      <c r="B72" s="5">
        <v>3626.3179999999998</v>
      </c>
      <c r="C72" s="5">
        <v>7580.1744</v>
      </c>
      <c r="D72" s="5">
        <v>1403.7359999999999</v>
      </c>
      <c r="F72" s="5"/>
      <c r="G72" s="5">
        <v>13623.98085048</v>
      </c>
      <c r="H72" s="5">
        <v>15201.605374681196</v>
      </c>
    </row>
    <row r="73" spans="1:8" ht="12.75">
      <c r="A73" s="11">
        <v>1536</v>
      </c>
      <c r="B73" s="5">
        <v>3860.274</v>
      </c>
      <c r="C73" s="5">
        <v>6363.6032</v>
      </c>
      <c r="D73" s="5">
        <v>1590.9008</v>
      </c>
      <c r="F73" s="5"/>
      <c r="G73" s="5">
        <v>12700.4600268</v>
      </c>
      <c r="H73" s="5">
        <v>15201.605374681196</v>
      </c>
    </row>
    <row r="74" spans="1:8" ht="12.75">
      <c r="A74" s="11">
        <v>1537</v>
      </c>
      <c r="B74" s="5">
        <v>3088.2192</v>
      </c>
      <c r="C74" s="5">
        <v>14598.8544</v>
      </c>
      <c r="D74" s="5">
        <v>1216.5712</v>
      </c>
      <c r="F74" s="5">
        <v>5540.0312888</v>
      </c>
      <c r="G74" s="5">
        <v>12434.493708</v>
      </c>
      <c r="H74" s="5">
        <v>15201.605374681196</v>
      </c>
    </row>
    <row r="75" spans="1:8" ht="12.75">
      <c r="A75" s="11">
        <v>1538</v>
      </c>
      <c r="B75" s="5">
        <v>3602.9224</v>
      </c>
      <c r="C75" s="5">
        <v>5614.9439999999995</v>
      </c>
      <c r="D75" s="5">
        <v>3930.4608</v>
      </c>
      <c r="F75" s="5">
        <v>5741.7013608</v>
      </c>
      <c r="G75" s="5">
        <v>14136.389085</v>
      </c>
      <c r="H75" s="5">
        <v>15201.605374681196</v>
      </c>
    </row>
    <row r="76" spans="1:8" ht="12.75">
      <c r="A76" s="11">
        <v>1539</v>
      </c>
      <c r="B76" s="5">
        <v>2901.0544</v>
      </c>
      <c r="C76" s="5">
        <v>2901.0544</v>
      </c>
      <c r="D76" s="5">
        <v>7486.592</v>
      </c>
      <c r="F76" s="5"/>
      <c r="G76" s="5">
        <v>13193.950049280002</v>
      </c>
      <c r="H76" s="5">
        <v>14773.316666733657</v>
      </c>
    </row>
    <row r="77" spans="1:8" ht="12.75">
      <c r="A77" s="11">
        <v>1540</v>
      </c>
      <c r="B77" s="5">
        <v>2152.3952</v>
      </c>
      <c r="C77" s="5">
        <v>2760.6808</v>
      </c>
      <c r="D77" s="5">
        <v>10808.7672</v>
      </c>
      <c r="F77" s="5"/>
      <c r="G77" s="5">
        <v>13774.77648456</v>
      </c>
      <c r="H77" s="5">
        <v>14773.316666733657</v>
      </c>
    </row>
    <row r="78" spans="1:8" ht="12.75">
      <c r="A78" s="11">
        <v>1541</v>
      </c>
      <c r="B78" s="5">
        <v>1965.2304</v>
      </c>
      <c r="C78" s="5">
        <v>1965.2304</v>
      </c>
      <c r="D78" s="5">
        <v>5334.1968</v>
      </c>
      <c r="F78" s="5">
        <v>4940.0511268</v>
      </c>
      <c r="G78" s="5">
        <v>12086.469890040002</v>
      </c>
      <c r="H78" s="5">
        <v>14346.790463757094</v>
      </c>
    </row>
    <row r="79" spans="1:8" ht="12.75">
      <c r="A79" s="11">
        <v>1542</v>
      </c>
      <c r="B79" s="5">
        <v>1403.7359999999999</v>
      </c>
      <c r="C79" s="5">
        <v>1169.78</v>
      </c>
      <c r="D79" s="5">
        <v>4398.3728</v>
      </c>
      <c r="F79" s="5">
        <v>5560.900164</v>
      </c>
      <c r="G79" s="5">
        <v>10308.03447492</v>
      </c>
      <c r="H79" s="5">
        <v>14346.790463757094</v>
      </c>
    </row>
    <row r="80" spans="1:8" ht="12.75">
      <c r="A80" s="11">
        <v>1543</v>
      </c>
      <c r="B80" s="5">
        <v>1122.9888</v>
      </c>
      <c r="C80" s="5">
        <v>1965.2304</v>
      </c>
      <c r="D80" s="5">
        <v>3743.296</v>
      </c>
      <c r="F80" s="5">
        <v>6261.364428</v>
      </c>
      <c r="G80" s="5">
        <v>10670.76965136</v>
      </c>
      <c r="H80" s="5">
        <v>14346.790463757094</v>
      </c>
    </row>
    <row r="81" spans="1:8" ht="12.75">
      <c r="A81" s="11">
        <v>1544</v>
      </c>
      <c r="B81" s="5">
        <v>842.2416</v>
      </c>
      <c r="C81" s="5">
        <v>421.1208</v>
      </c>
      <c r="D81" s="5">
        <v>3836.8784</v>
      </c>
      <c r="F81" s="5">
        <v>6616.4160536</v>
      </c>
      <c r="G81" s="5">
        <v>10846.5818916</v>
      </c>
      <c r="H81" s="5">
        <v>14346.790463757094</v>
      </c>
    </row>
    <row r="82" spans="1:8" ht="12.75">
      <c r="A82" s="11">
        <v>1545</v>
      </c>
      <c r="B82" s="5">
        <v>982.6152</v>
      </c>
      <c r="C82" s="5">
        <v>2339.56</v>
      </c>
      <c r="D82" s="5">
        <v>3462.5488</v>
      </c>
      <c r="F82" s="5">
        <v>7341.2585328</v>
      </c>
      <c r="G82" s="5">
        <v>10772.392714720001</v>
      </c>
      <c r="H82" s="5">
        <v>14346.790463757094</v>
      </c>
    </row>
    <row r="83" spans="1:6" ht="12.75">
      <c r="A83" s="11">
        <v>1546</v>
      </c>
      <c r="B83" s="5">
        <v>538.0988</v>
      </c>
      <c r="D83" s="5">
        <v>3649.7136</v>
      </c>
      <c r="F83" s="5"/>
    </row>
    <row r="84" spans="1:6" ht="12.75">
      <c r="A84" s="11">
        <v>1547</v>
      </c>
      <c r="B84" s="5">
        <v>467.912</v>
      </c>
      <c r="F84" s="5"/>
    </row>
    <row r="85" spans="1:6" ht="12.75">
      <c r="A85" s="11">
        <v>1548</v>
      </c>
      <c r="B85" s="5">
        <v>467.912</v>
      </c>
      <c r="F85" s="5"/>
    </row>
    <row r="86" spans="1:6" ht="12.75">
      <c r="A86" s="11">
        <v>1549</v>
      </c>
      <c r="B86" s="5">
        <v>467.912</v>
      </c>
      <c r="F86" s="5">
        <v>6576.1990172000005</v>
      </c>
    </row>
    <row r="87" spans="1:6" ht="12.75">
      <c r="A87" s="11">
        <v>1550</v>
      </c>
      <c r="B87" s="5">
        <v>467.912</v>
      </c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E94"/>
  <sheetViews>
    <sheetView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7.140625" style="0" customWidth="1"/>
    <col min="2" max="2" width="8.140625" style="0" customWidth="1"/>
    <col min="3" max="3" width="6.8515625" style="0" customWidth="1"/>
    <col min="4" max="4" width="11.8515625" style="0" customWidth="1"/>
    <col min="5" max="5" width="10.7109375" style="0" customWidth="1"/>
  </cols>
  <sheetData>
    <row r="1" spans="1:5" ht="12.75">
      <c r="A1" s="11" t="s">
        <v>3</v>
      </c>
      <c r="B1" s="10" t="s">
        <v>522</v>
      </c>
      <c r="C1" s="17"/>
      <c r="D1" s="15"/>
      <c r="E1" s="5"/>
    </row>
    <row r="2" spans="1:5" ht="12.75">
      <c r="A2" s="11"/>
      <c r="B2" s="10" t="s">
        <v>339</v>
      </c>
      <c r="C2" s="17"/>
      <c r="D2" s="15"/>
      <c r="E2" s="5"/>
    </row>
    <row r="3" spans="1:5" ht="12.75">
      <c r="A3" s="11"/>
      <c r="B3" s="9"/>
      <c r="C3" s="17"/>
      <c r="D3" s="15"/>
      <c r="E3" s="5"/>
    </row>
    <row r="4" spans="1:5" ht="12.75">
      <c r="A4" s="11"/>
      <c r="B4" s="9"/>
      <c r="C4" s="17"/>
      <c r="D4" s="15"/>
      <c r="E4" s="5"/>
    </row>
    <row r="5" spans="1:5" ht="12.75">
      <c r="A5" s="11" t="s">
        <v>575</v>
      </c>
      <c r="B5" s="10" t="s">
        <v>408</v>
      </c>
      <c r="C5" s="18" t="s">
        <v>464</v>
      </c>
      <c r="D5" s="16" t="s">
        <v>433</v>
      </c>
      <c r="E5" s="4" t="s">
        <v>388</v>
      </c>
    </row>
    <row r="6" spans="1:5" ht="12.75">
      <c r="A6" s="11"/>
      <c r="B6" s="10" t="s">
        <v>514</v>
      </c>
      <c r="C6" s="18"/>
      <c r="D6" s="16" t="s">
        <v>408</v>
      </c>
      <c r="E6" s="4" t="s">
        <v>302</v>
      </c>
    </row>
    <row r="7" spans="1:5" ht="12.75">
      <c r="A7" s="11"/>
      <c r="B7" s="9"/>
      <c r="C7" s="17"/>
      <c r="D7" s="15"/>
      <c r="E7" s="5"/>
    </row>
    <row r="8" spans="1:5" ht="12.75">
      <c r="A8" s="11">
        <v>1771</v>
      </c>
      <c r="B8" s="9">
        <v>255493</v>
      </c>
      <c r="C8" s="17">
        <v>4.5</v>
      </c>
      <c r="D8" s="15">
        <f>B8+(C8/8)</f>
        <v>255493.5625</v>
      </c>
      <c r="E8" s="5">
        <f>D8*0.2269</f>
        <v>57971.48933125</v>
      </c>
    </row>
    <row r="9" spans="1:5" ht="12.75">
      <c r="A9" s="11">
        <v>1772</v>
      </c>
      <c r="B9" s="9">
        <v>241173</v>
      </c>
      <c r="C9" s="17">
        <v>3</v>
      </c>
      <c r="D9" s="15">
        <f>B9+(C9/8)</f>
        <v>241173.375</v>
      </c>
      <c r="E9" s="5">
        <f>D9*0.2269</f>
        <v>54722.2387875</v>
      </c>
    </row>
    <row r="10" spans="1:5" ht="12.75">
      <c r="A10" s="11">
        <v>1773</v>
      </c>
      <c r="B10" s="9">
        <v>229520</v>
      </c>
      <c r="C10" s="17">
        <v>2.5</v>
      </c>
      <c r="D10" s="15">
        <f>B10+(C10/8)</f>
        <v>229520.3125</v>
      </c>
      <c r="E10" s="5">
        <f>D10*0.2269</f>
        <v>52078.15890625</v>
      </c>
    </row>
    <row r="11" spans="1:5" ht="12.75">
      <c r="A11" s="11">
        <v>1774</v>
      </c>
      <c r="B11" s="9">
        <v>248874</v>
      </c>
      <c r="C11" s="17">
        <v>7</v>
      </c>
      <c r="D11" s="15">
        <f>B11+(C11/8)</f>
        <v>248874.875</v>
      </c>
      <c r="E11" s="5">
        <f>D11*0.2269</f>
        <v>56469.709137499995</v>
      </c>
    </row>
    <row r="12" spans="1:5" ht="12.75">
      <c r="A12" s="11"/>
      <c r="B12" s="9"/>
      <c r="C12" s="17"/>
      <c r="D12" s="15"/>
      <c r="E12" s="5"/>
    </row>
    <row r="13" spans="1:5" ht="12.75">
      <c r="A13" s="11" t="s">
        <v>161</v>
      </c>
      <c r="B13" s="9"/>
      <c r="C13" s="17"/>
      <c r="D13" s="15"/>
      <c r="E13" s="5">
        <f>SUM(E8:E12)/4</f>
        <v>55310.399040625</v>
      </c>
    </row>
    <row r="14" spans="1:5" ht="12.75">
      <c r="A14" s="11"/>
      <c r="B14" s="9"/>
      <c r="C14" s="17"/>
      <c r="D14" s="15"/>
      <c r="E14" s="5"/>
    </row>
    <row r="15" spans="1:5" ht="12.75">
      <c r="A15" s="11">
        <v>1775</v>
      </c>
      <c r="B15" s="9">
        <v>232716</v>
      </c>
      <c r="C15" s="17">
        <v>3.5</v>
      </c>
      <c r="D15" s="15">
        <f>B15+(C15/8)</f>
        <v>232716.4375</v>
      </c>
      <c r="E15" s="5">
        <f>D15*0.2269</f>
        <v>52803.359668749996</v>
      </c>
    </row>
    <row r="16" spans="1:5" ht="12.75">
      <c r="A16" s="11">
        <v>1776</v>
      </c>
      <c r="B16" s="9">
        <v>274618</v>
      </c>
      <c r="C16" s="17">
        <v>4</v>
      </c>
      <c r="D16" s="15">
        <f>B16+(C16/8)</f>
        <v>274618.5</v>
      </c>
      <c r="E16" s="5">
        <f>D16*0.2269</f>
        <v>62310.93765</v>
      </c>
    </row>
    <row r="17" spans="1:5" ht="12.75">
      <c r="A17" s="11">
        <v>1777</v>
      </c>
      <c r="B17" s="9">
        <v>246134</v>
      </c>
      <c r="C17" s="17">
        <v>1</v>
      </c>
      <c r="D17" s="15">
        <f>B17+(C17/8)</f>
        <v>246134.125</v>
      </c>
      <c r="E17" s="5">
        <f>D17*0.2269</f>
        <v>55847.8329625</v>
      </c>
    </row>
    <row r="18" spans="1:5" ht="12.75">
      <c r="A18" s="11">
        <v>1778</v>
      </c>
      <c r="B18" s="9">
        <v>300549</v>
      </c>
      <c r="C18" s="17">
        <v>1.5</v>
      </c>
      <c r="D18" s="15">
        <f>B18+(C18/8)</f>
        <v>300549.1875</v>
      </c>
      <c r="E18" s="5">
        <f>D18*0.2269</f>
        <v>68194.61064375</v>
      </c>
    </row>
    <row r="19" spans="1:5" ht="12.75">
      <c r="A19" s="11">
        <v>1779</v>
      </c>
      <c r="B19" s="9">
        <v>306608</v>
      </c>
      <c r="C19" s="17">
        <v>2.5</v>
      </c>
      <c r="D19" s="15">
        <f>B19+(C19/8)</f>
        <v>306608.3125</v>
      </c>
      <c r="E19" s="5">
        <f>D19*0.2269</f>
        <v>69569.42610625</v>
      </c>
    </row>
    <row r="20" spans="1:5" ht="12.75">
      <c r="A20" s="11"/>
      <c r="B20" s="9"/>
      <c r="C20" s="17"/>
      <c r="D20" s="15"/>
      <c r="E20" s="5"/>
    </row>
    <row r="21" spans="1:5" ht="12.75">
      <c r="A21" s="11" t="s">
        <v>166</v>
      </c>
      <c r="B21" s="9"/>
      <c r="C21" s="17"/>
      <c r="D21" s="15"/>
      <c r="E21" s="5">
        <f>SUM(E15:E20)/5</f>
        <v>61745.233406249994</v>
      </c>
    </row>
    <row r="22" spans="1:5" ht="12.75">
      <c r="A22" s="11"/>
      <c r="B22" s="9"/>
      <c r="C22" s="17"/>
      <c r="D22" s="15"/>
      <c r="E22" s="5"/>
    </row>
    <row r="23" spans="1:5" ht="12.75">
      <c r="A23" s="11">
        <v>1780</v>
      </c>
      <c r="B23" s="9">
        <v>369224</v>
      </c>
      <c r="C23" s="17">
        <v>0</v>
      </c>
      <c r="D23" s="15">
        <f>B23+(C23/8)</f>
        <v>369224</v>
      </c>
      <c r="E23" s="5">
        <f>D23*0.2269</f>
        <v>83776.9256</v>
      </c>
    </row>
    <row r="24" spans="1:5" ht="12.75">
      <c r="A24" s="11">
        <v>1781</v>
      </c>
      <c r="B24" s="9">
        <v>345883</v>
      </c>
      <c r="C24" s="17">
        <v>5</v>
      </c>
      <c r="D24" s="15">
        <f>B24+(C24/8)</f>
        <v>345883.625</v>
      </c>
      <c r="E24" s="5">
        <f>D24*0.2269</f>
        <v>78480.9945125</v>
      </c>
    </row>
    <row r="25" spans="1:5" ht="12.75">
      <c r="A25" s="11">
        <v>1782</v>
      </c>
      <c r="B25" s="9">
        <v>296106</v>
      </c>
      <c r="C25" s="17">
        <v>0</v>
      </c>
      <c r="D25" s="15">
        <f>B25+(C25/8)</f>
        <v>296106</v>
      </c>
      <c r="E25" s="5">
        <f>D25*0.2269</f>
        <v>67186.45139999999</v>
      </c>
    </row>
    <row r="26" spans="1:5" ht="12.75">
      <c r="A26" s="11">
        <v>1783</v>
      </c>
      <c r="B26" s="9">
        <v>289345</v>
      </c>
      <c r="C26" s="17">
        <v>7</v>
      </c>
      <c r="D26" s="15">
        <f>B26+(C26/8)</f>
        <v>289345.875</v>
      </c>
      <c r="E26" s="5">
        <f>D26*0.2269</f>
        <v>65652.57903749999</v>
      </c>
    </row>
    <row r="27" spans="1:5" ht="12.75">
      <c r="A27" s="11">
        <v>1784</v>
      </c>
      <c r="B27" s="9">
        <v>304635</v>
      </c>
      <c r="C27" s="17">
        <v>5</v>
      </c>
      <c r="D27" s="15">
        <f>B27+(C27/8)</f>
        <v>304635.625</v>
      </c>
      <c r="E27" s="5">
        <f>D27*0.2269</f>
        <v>69121.8233125</v>
      </c>
    </row>
    <row r="28" spans="1:5" ht="12.75">
      <c r="A28" s="11"/>
      <c r="B28" s="9"/>
      <c r="C28" s="17"/>
      <c r="D28" s="15"/>
      <c r="E28" s="5"/>
    </row>
    <row r="29" spans="1:5" ht="12.75">
      <c r="A29" s="11" t="s">
        <v>167</v>
      </c>
      <c r="B29" s="9"/>
      <c r="C29" s="17"/>
      <c r="D29" s="15"/>
      <c r="E29" s="5">
        <f>SUM(E23:E28)/5</f>
        <v>72843.75477249999</v>
      </c>
    </row>
    <row r="30" spans="1:5" ht="12.75">
      <c r="A30" s="11"/>
      <c r="B30" s="9"/>
      <c r="C30" s="17"/>
      <c r="D30" s="15"/>
      <c r="E30" s="5"/>
    </row>
    <row r="31" spans="1:5" ht="12.75">
      <c r="A31" s="11">
        <v>1785</v>
      </c>
      <c r="B31" s="9">
        <v>312641</v>
      </c>
      <c r="C31" s="17">
        <v>2</v>
      </c>
      <c r="D31" s="15">
        <f>B31+(C31/8)</f>
        <v>312641.25</v>
      </c>
      <c r="E31" s="5">
        <f>D31*0.2269</f>
        <v>70938.299625</v>
      </c>
    </row>
    <row r="32" spans="1:5" ht="12.75">
      <c r="A32" s="11">
        <v>1786</v>
      </c>
      <c r="B32" s="9">
        <v>347834</v>
      </c>
      <c r="C32" s="17">
        <v>4</v>
      </c>
      <c r="D32" s="15">
        <f>B32+(C32/8)</f>
        <v>347834.5</v>
      </c>
      <c r="E32" s="5">
        <f>D32*0.2269</f>
        <v>78923.64805</v>
      </c>
    </row>
    <row r="33" spans="1:5" ht="12.75">
      <c r="A33" s="11">
        <v>1787</v>
      </c>
      <c r="B33" s="9">
        <v>343109</v>
      </c>
      <c r="C33" s="17">
        <v>1</v>
      </c>
      <c r="D33" s="15">
        <f>B33+(C33/8)</f>
        <v>343109.125</v>
      </c>
      <c r="E33" s="5">
        <f>D33*0.2269</f>
        <v>77851.46046249999</v>
      </c>
    </row>
    <row r="34" spans="1:5" ht="12.75">
      <c r="A34" s="11">
        <v>1788</v>
      </c>
      <c r="B34" s="9">
        <v>365125</v>
      </c>
      <c r="C34" s="17">
        <v>3</v>
      </c>
      <c r="D34" s="15">
        <f>B34+(C34/8)</f>
        <v>365125.375</v>
      </c>
      <c r="E34" s="5">
        <f>D34*0.2269</f>
        <v>82846.94758749999</v>
      </c>
    </row>
    <row r="35" spans="1:5" ht="12.75">
      <c r="A35" s="11">
        <v>1789</v>
      </c>
      <c r="B35" s="9">
        <v>384972</v>
      </c>
      <c r="C35" s="17">
        <v>3</v>
      </c>
      <c r="D35" s="15">
        <f>B35+(C35/8)</f>
        <v>384972.375</v>
      </c>
      <c r="E35" s="5">
        <f>D35*0.2269</f>
        <v>87350.23188749999</v>
      </c>
    </row>
    <row r="36" spans="1:5" ht="12.75">
      <c r="A36" s="11"/>
      <c r="B36" s="9"/>
      <c r="C36" s="17"/>
      <c r="D36" s="15"/>
      <c r="E36" s="5"/>
    </row>
    <row r="37" spans="1:5" ht="12.75">
      <c r="A37" s="11" t="s">
        <v>172</v>
      </c>
      <c r="B37" s="9"/>
      <c r="C37" s="17"/>
      <c r="D37" s="15"/>
      <c r="E37" s="5">
        <f>SUM(E31:E36)/5</f>
        <v>79582.11752249999</v>
      </c>
    </row>
    <row r="38" spans="1:5" ht="12.75">
      <c r="A38" s="11"/>
      <c r="B38" s="9"/>
      <c r="C38" s="17"/>
      <c r="D38" s="15"/>
      <c r="E38" s="5"/>
    </row>
    <row r="39" spans="1:5" ht="12.75">
      <c r="A39" s="11">
        <v>1790</v>
      </c>
      <c r="B39" s="9">
        <v>409319</v>
      </c>
      <c r="C39" s="17">
        <v>6</v>
      </c>
      <c r="D39" s="15">
        <f>B39+(C39/8)</f>
        <v>409319.75</v>
      </c>
      <c r="E39" s="5">
        <f>D39*0.2269</f>
        <v>92874.651275</v>
      </c>
    </row>
    <row r="40" spans="1:5" ht="12.75">
      <c r="A40" s="11">
        <v>1791</v>
      </c>
      <c r="B40" s="9">
        <v>411545</v>
      </c>
      <c r="C40" s="17">
        <v>7</v>
      </c>
      <c r="D40" s="15">
        <f>B40+(C40/8)</f>
        <v>411545.875</v>
      </c>
      <c r="E40" s="5">
        <f>D40*0.2269</f>
        <v>93379.7590375</v>
      </c>
    </row>
    <row r="41" spans="1:5" ht="12.75">
      <c r="A41" s="11">
        <v>1792</v>
      </c>
      <c r="B41" s="9">
        <v>513753</v>
      </c>
      <c r="C41" s="17">
        <v>2</v>
      </c>
      <c r="D41" s="15">
        <f>B41+(C41/8)</f>
        <v>513753.25</v>
      </c>
      <c r="E41" s="5">
        <f>D41*0.2269</f>
        <v>116570.612425</v>
      </c>
    </row>
    <row r="42" spans="1:5" ht="12.75">
      <c r="A42" s="11">
        <v>1793</v>
      </c>
      <c r="B42" s="9">
        <v>499707</v>
      </c>
      <c r="C42" s="17">
        <v>0</v>
      </c>
      <c r="D42" s="15">
        <f>B42+(C42/8)</f>
        <v>499707</v>
      </c>
      <c r="E42" s="5">
        <f>D42*0.2269</f>
        <v>113383.5183</v>
      </c>
    </row>
    <row r="43" spans="1:5" ht="12.75">
      <c r="A43" s="11">
        <v>1794</v>
      </c>
      <c r="B43" s="9">
        <v>571175</v>
      </c>
      <c r="C43" s="17">
        <v>3</v>
      </c>
      <c r="D43" s="15">
        <f>B43+(C43/8)</f>
        <v>571175.375</v>
      </c>
      <c r="E43" s="5">
        <f>D43*0.2269</f>
        <v>129599.6925875</v>
      </c>
    </row>
    <row r="44" spans="1:5" ht="12.75">
      <c r="A44" s="11"/>
      <c r="B44" s="9"/>
      <c r="C44" s="17"/>
      <c r="D44" s="15"/>
      <c r="E44" s="5"/>
    </row>
    <row r="45" spans="1:5" ht="12.75">
      <c r="A45" s="11" t="s">
        <v>173</v>
      </c>
      <c r="B45" s="9"/>
      <c r="C45" s="17"/>
      <c r="D45" s="15"/>
      <c r="E45" s="5">
        <f>SUM(E39:E44)/5</f>
        <v>109161.646725</v>
      </c>
    </row>
    <row r="46" spans="1:5" ht="12.75">
      <c r="A46" s="11"/>
      <c r="B46" s="9"/>
      <c r="C46" s="17"/>
      <c r="D46" s="15"/>
      <c r="E46" s="5"/>
    </row>
    <row r="47" spans="1:5" ht="12.75">
      <c r="A47" s="11">
        <v>1795</v>
      </c>
      <c r="B47" s="9">
        <v>506346</v>
      </c>
      <c r="C47" s="17">
        <v>6</v>
      </c>
      <c r="D47" s="15">
        <f>B47+(C47/8)</f>
        <v>506346.75</v>
      </c>
      <c r="E47" s="5">
        <f>D47*0.2269</f>
        <v>114890.07757499999</v>
      </c>
    </row>
    <row r="48" spans="1:5" ht="12.75">
      <c r="A48" s="11">
        <v>1796</v>
      </c>
      <c r="B48" s="9">
        <v>540349</v>
      </c>
      <c r="C48" s="17">
        <v>4</v>
      </c>
      <c r="D48" s="15">
        <f>B48+(C48/8)</f>
        <v>540349.5</v>
      </c>
      <c r="E48" s="5">
        <f>D48*0.2269</f>
        <v>122605.30154999999</v>
      </c>
    </row>
    <row r="49" spans="1:5" ht="12.75">
      <c r="A49" s="11">
        <v>1797</v>
      </c>
      <c r="B49" s="9">
        <v>513264</v>
      </c>
      <c r="C49" s="17">
        <v>3</v>
      </c>
      <c r="D49" s="15">
        <f>B49+(C49/8)</f>
        <v>513264.375</v>
      </c>
      <c r="E49" s="5">
        <f>D49*0.2269</f>
        <v>116459.6866875</v>
      </c>
    </row>
    <row r="50" spans="1:5" ht="12.75">
      <c r="A50" s="11">
        <v>1798</v>
      </c>
      <c r="B50" s="9">
        <v>587584</v>
      </c>
      <c r="C50" s="17">
        <v>2</v>
      </c>
      <c r="D50" s="15">
        <f>B50+(C50/8)</f>
        <v>587584.25</v>
      </c>
      <c r="E50" s="5">
        <f>D50*0.2269</f>
        <v>133322.86632499998</v>
      </c>
    </row>
    <row r="51" spans="1:5" ht="12.75">
      <c r="A51" s="11">
        <v>1799</v>
      </c>
      <c r="B51" s="9">
        <v>636821</v>
      </c>
      <c r="C51" s="17">
        <v>2</v>
      </c>
      <c r="D51" s="15">
        <f>B51+(C51/8)</f>
        <v>636821.25</v>
      </c>
      <c r="E51" s="5">
        <f>D51*0.2269</f>
        <v>144494.741625</v>
      </c>
    </row>
    <row r="52" spans="1:5" ht="12.75">
      <c r="A52" s="11"/>
      <c r="B52" s="9"/>
      <c r="C52" s="17"/>
      <c r="D52" s="15"/>
      <c r="E52" s="5"/>
    </row>
    <row r="53" spans="1:5" ht="12.75">
      <c r="A53" s="11" t="s">
        <v>178</v>
      </c>
      <c r="B53" s="9"/>
      <c r="C53" s="17"/>
      <c r="D53" s="15"/>
      <c r="E53" s="5">
        <f>SUM(E47:E52)/5</f>
        <v>126354.53475249998</v>
      </c>
    </row>
    <row r="54" spans="1:5" ht="12.75">
      <c r="A54" s="11"/>
      <c r="B54" s="9"/>
      <c r="C54" s="17"/>
      <c r="D54" s="15"/>
      <c r="E54" s="5"/>
    </row>
    <row r="55" spans="1:5" ht="12.75">
      <c r="A55" s="11">
        <v>1800</v>
      </c>
      <c r="B55" s="9">
        <v>525065</v>
      </c>
      <c r="C55" s="17">
        <v>4</v>
      </c>
      <c r="D55" s="15">
        <f>B55+(C55/8)</f>
        <v>525065.5</v>
      </c>
      <c r="E55" s="5">
        <f>D55*0.2269</f>
        <v>119137.36194999999</v>
      </c>
    </row>
    <row r="56" spans="1:5" ht="12.75">
      <c r="A56" s="11">
        <v>1801</v>
      </c>
      <c r="B56" s="9">
        <v>556396</v>
      </c>
      <c r="C56" s="17">
        <v>5</v>
      </c>
      <c r="D56" s="15">
        <f>B56+(C56/8)</f>
        <v>556396.625</v>
      </c>
      <c r="E56" s="5">
        <f>D56*0.2269</f>
        <v>126246.39421249999</v>
      </c>
    </row>
    <row r="57" spans="1:5" ht="12.75">
      <c r="A57" s="11">
        <v>1802</v>
      </c>
      <c r="B57" s="9">
        <v>504785</v>
      </c>
      <c r="C57" s="17">
        <v>3</v>
      </c>
      <c r="D57" s="15">
        <f>B57+(C57/8)</f>
        <v>504785.375</v>
      </c>
      <c r="E57" s="5">
        <f>D57*0.2269</f>
        <v>114535.8015875</v>
      </c>
    </row>
    <row r="58" spans="1:5" ht="12.75">
      <c r="A58" s="11">
        <v>1803</v>
      </c>
      <c r="B58" s="9">
        <v>498163</v>
      </c>
      <c r="C58" s="17">
        <v>5</v>
      </c>
      <c r="D58" s="15">
        <f>B58+(C58/8)</f>
        <v>498163.625</v>
      </c>
      <c r="E58" s="5">
        <f>D58*0.2269</f>
        <v>113033.32651249999</v>
      </c>
    </row>
    <row r="59" spans="1:5" ht="12.75">
      <c r="A59" s="11">
        <v>1804</v>
      </c>
      <c r="B59" s="9">
        <v>570444</v>
      </c>
      <c r="C59" s="17">
        <v>6</v>
      </c>
      <c r="D59" s="15">
        <f>B59+(C59/8)</f>
        <v>570444.75</v>
      </c>
      <c r="E59" s="5">
        <f>D59*0.2269</f>
        <v>129433.913775</v>
      </c>
    </row>
    <row r="60" spans="1:5" ht="12.75">
      <c r="A60" s="11"/>
      <c r="B60" s="9"/>
      <c r="C60" s="17"/>
      <c r="D60" s="15"/>
      <c r="E60" s="5"/>
    </row>
    <row r="61" spans="1:5" ht="12.75">
      <c r="A61" s="11" t="s">
        <v>182</v>
      </c>
      <c r="B61" s="9"/>
      <c r="C61" s="17"/>
      <c r="D61" s="15"/>
      <c r="E61" s="5">
        <f>SUM(E55:E60)/5</f>
        <v>120477.3596075</v>
      </c>
    </row>
    <row r="62" spans="1:5" ht="12.75">
      <c r="A62" s="11"/>
      <c r="B62" s="9"/>
      <c r="C62" s="17"/>
      <c r="D62" s="15"/>
      <c r="E62" s="5"/>
    </row>
    <row r="63" spans="1:5" ht="12.75">
      <c r="A63" s="11">
        <v>1805</v>
      </c>
      <c r="B63" s="9">
        <v>515150</v>
      </c>
      <c r="C63" s="17">
        <v>0</v>
      </c>
      <c r="D63" s="15">
        <f>B63+(C63/8)</f>
        <v>515150</v>
      </c>
      <c r="E63" s="5">
        <f>D63*0.2269</f>
        <v>116887.53499999999</v>
      </c>
    </row>
    <row r="64" spans="1:5" ht="12.75">
      <c r="A64" s="11">
        <v>1806</v>
      </c>
      <c r="B64" s="9">
        <v>385957</v>
      </c>
      <c r="C64" s="17">
        <v>7.75</v>
      </c>
      <c r="D64" s="15">
        <f>B64+(C64/8)</f>
        <v>385957.96875</v>
      </c>
      <c r="E64" s="5">
        <f>D64*0.2269</f>
        <v>87573.863109375</v>
      </c>
    </row>
    <row r="65" spans="1:5" ht="12.75">
      <c r="A65" s="11">
        <v>1807</v>
      </c>
      <c r="B65" s="9">
        <v>423984</v>
      </c>
      <c r="C65" s="17">
        <v>5.75</v>
      </c>
      <c r="D65" s="15">
        <f>B65+(C65/8)</f>
        <v>423984.71875</v>
      </c>
      <c r="E65" s="5">
        <f>D65*0.2269</f>
        <v>96202.132684375</v>
      </c>
    </row>
    <row r="66" spans="1:5" ht="12.75">
      <c r="A66" s="11">
        <v>1808</v>
      </c>
      <c r="B66" s="9">
        <v>513778</v>
      </c>
      <c r="C66" s="17">
        <v>4</v>
      </c>
      <c r="D66" s="15">
        <f>B66+(C66/8)</f>
        <v>513778.5</v>
      </c>
      <c r="E66" s="5">
        <f>D66*0.2269</f>
        <v>116576.34165</v>
      </c>
    </row>
    <row r="67" spans="1:5" ht="12.75">
      <c r="A67" s="11">
        <v>1809</v>
      </c>
      <c r="B67" s="9">
        <v>503971</v>
      </c>
      <c r="C67" s="17">
        <v>7</v>
      </c>
      <c r="D67" s="15">
        <f>B67+(C67/8)</f>
        <v>503971.875</v>
      </c>
      <c r="E67" s="5">
        <f>D67*0.2269</f>
        <v>114351.21843749999</v>
      </c>
    </row>
    <row r="68" spans="1:5" ht="12.75">
      <c r="A68" s="11"/>
      <c r="B68" s="9"/>
      <c r="C68" s="17"/>
      <c r="D68" s="15"/>
      <c r="E68" s="5"/>
    </row>
    <row r="69" spans="1:5" ht="12.75">
      <c r="A69" s="11" t="s">
        <v>185</v>
      </c>
      <c r="B69" s="9"/>
      <c r="C69" s="17"/>
      <c r="D69" s="15"/>
      <c r="E69" s="5">
        <f>SUM(E63:E68)/5</f>
        <v>106318.21817625</v>
      </c>
    </row>
    <row r="70" spans="1:5" ht="12.75">
      <c r="A70" s="11"/>
      <c r="B70" s="9"/>
      <c r="C70" s="17"/>
      <c r="D70" s="15"/>
      <c r="E70" s="5"/>
    </row>
    <row r="71" spans="1:5" ht="12.75">
      <c r="A71" s="11">
        <v>1810</v>
      </c>
      <c r="B71" s="9">
        <v>464509</v>
      </c>
      <c r="C71" s="17">
        <v>7.25</v>
      </c>
      <c r="D71" s="15">
        <f>B71+(C71/8)</f>
        <v>464509.90625</v>
      </c>
      <c r="E71" s="5">
        <f>D71*0.2269</f>
        <v>105397.29772812499</v>
      </c>
    </row>
    <row r="72" spans="1:5" ht="12.75">
      <c r="A72" s="11">
        <v>1811</v>
      </c>
      <c r="B72" s="9">
        <v>503122</v>
      </c>
      <c r="C72" s="17">
        <v>3</v>
      </c>
      <c r="D72" s="15">
        <f>B72+(C72/8)</f>
        <v>503122.375</v>
      </c>
      <c r="E72" s="5">
        <f>D72*0.2269</f>
        <v>114158.46688749999</v>
      </c>
    </row>
    <row r="73" spans="1:5" ht="12.75">
      <c r="A73" s="11">
        <v>1812</v>
      </c>
      <c r="B73" s="9">
        <v>330653</v>
      </c>
      <c r="C73" s="17">
        <v>4</v>
      </c>
      <c r="D73" s="15">
        <f>B73+(C73/8)</f>
        <v>330653.5</v>
      </c>
      <c r="E73" s="5">
        <f>D73*0.2269</f>
        <v>75025.27915</v>
      </c>
    </row>
    <row r="74" spans="1:5" ht="12.75">
      <c r="A74" s="11">
        <v>1813</v>
      </c>
      <c r="B74" s="9">
        <v>330555</v>
      </c>
      <c r="C74" s="17">
        <v>7</v>
      </c>
      <c r="D74" s="15">
        <f>B74+(C74/8)</f>
        <v>330555.875</v>
      </c>
      <c r="E74" s="5">
        <f>D74*0.2269</f>
        <v>75003.12803749999</v>
      </c>
    </row>
    <row r="75" spans="1:5" ht="12.75">
      <c r="A75" s="11">
        <v>1814</v>
      </c>
      <c r="B75" s="9">
        <v>231549</v>
      </c>
      <c r="C75" s="17">
        <v>5</v>
      </c>
      <c r="D75" s="15">
        <f>B75+(C75/8)</f>
        <v>231549.625</v>
      </c>
      <c r="E75" s="5">
        <f>D75*0.2269</f>
        <v>52538.6099125</v>
      </c>
    </row>
    <row r="76" spans="1:5" ht="12.75">
      <c r="A76" s="11"/>
      <c r="B76" s="9"/>
      <c r="C76" s="17"/>
      <c r="D76" s="15"/>
      <c r="E76" s="5"/>
    </row>
    <row r="77" spans="1:5" ht="12.75">
      <c r="A77" s="11" t="s">
        <v>188</v>
      </c>
      <c r="B77" s="9"/>
      <c r="C77" s="17"/>
      <c r="D77" s="15"/>
      <c r="E77" s="5">
        <f>SUM(E71:E76)/5</f>
        <v>84424.55634312499</v>
      </c>
    </row>
    <row r="78" spans="1:5" ht="12.75">
      <c r="A78" s="11"/>
      <c r="B78" s="9"/>
      <c r="C78" s="17"/>
      <c r="D78" s="15"/>
      <c r="E78" s="5"/>
    </row>
    <row r="79" spans="1:5" ht="12.75">
      <c r="A79" s="11">
        <v>1815</v>
      </c>
      <c r="B79" s="9">
        <v>250316</v>
      </c>
      <c r="C79" s="17">
        <v>2.75</v>
      </c>
      <c r="D79" s="15">
        <f>B79+(C79/8)</f>
        <v>250316.34375</v>
      </c>
      <c r="E79" s="5">
        <f>D79*0.2269</f>
        <v>56796.778396875</v>
      </c>
    </row>
    <row r="80" spans="1:5" ht="12.75">
      <c r="A80" s="11">
        <v>1816</v>
      </c>
      <c r="B80" s="9">
        <v>286784</v>
      </c>
      <c r="C80" s="17">
        <v>7.75</v>
      </c>
      <c r="D80" s="15">
        <f>B80+(C80/8)</f>
        <v>286784.96875</v>
      </c>
      <c r="E80" s="5">
        <f>D80*0.2269</f>
        <v>65071.509409374994</v>
      </c>
    </row>
    <row r="81" spans="1:5" ht="12.75">
      <c r="A81" s="11">
        <v>1817</v>
      </c>
      <c r="B81" s="9">
        <v>245832</v>
      </c>
      <c r="C81" s="17">
        <v>0.5</v>
      </c>
      <c r="D81" s="15">
        <f>B81+(C81/8)</f>
        <v>245832.0625</v>
      </c>
      <c r="E81" s="5">
        <f>D81*0.2269</f>
        <v>55779.29498125</v>
      </c>
    </row>
    <row r="82" spans="1:5" ht="12.75">
      <c r="A82" s="11">
        <v>1818</v>
      </c>
      <c r="B82" s="9">
        <v>282383</v>
      </c>
      <c r="C82" s="17">
        <v>7.5</v>
      </c>
      <c r="D82" s="15">
        <f>B82+(C82/8)</f>
        <v>282383.9375</v>
      </c>
      <c r="E82" s="5">
        <f>D82*0.2269</f>
        <v>64072.915418749995</v>
      </c>
    </row>
    <row r="83" spans="1:5" ht="12.75">
      <c r="A83" s="11">
        <v>1819</v>
      </c>
      <c r="B83" s="9">
        <v>287832</v>
      </c>
      <c r="C83" s="17">
        <v>7</v>
      </c>
      <c r="D83" s="15">
        <f>B83+(C83/8)</f>
        <v>287832.875</v>
      </c>
      <c r="E83" s="5">
        <f>D83*0.2269</f>
        <v>65309.2793375</v>
      </c>
    </row>
    <row r="84" spans="1:5" ht="12.75">
      <c r="A84" s="11"/>
      <c r="B84" s="9"/>
      <c r="C84" s="17"/>
      <c r="D84" s="15"/>
      <c r="E84" s="5"/>
    </row>
    <row r="85" spans="1:5" ht="12.75">
      <c r="A85" s="11" t="s">
        <v>190</v>
      </c>
      <c r="B85" s="9"/>
      <c r="C85" s="17"/>
      <c r="D85" s="15"/>
      <c r="E85" s="5">
        <f>SUM(E79:E84)/5</f>
        <v>61405.955508750005</v>
      </c>
    </row>
    <row r="86" spans="1:5" ht="12.75">
      <c r="A86" s="11"/>
      <c r="B86" s="9"/>
      <c r="C86" s="17"/>
      <c r="D86" s="15"/>
      <c r="E86" s="5"/>
    </row>
    <row r="87" spans="1:5" ht="12.75">
      <c r="A87" s="11">
        <v>1820</v>
      </c>
      <c r="B87" s="9">
        <v>476508</v>
      </c>
      <c r="C87" s="17">
        <v>7</v>
      </c>
      <c r="D87" s="15">
        <f>B87+(C87/8)</f>
        <v>476508.875</v>
      </c>
      <c r="E87" s="5">
        <f>D87*0.2269</f>
        <v>108119.8637375</v>
      </c>
    </row>
    <row r="88" spans="1:5" ht="12.75">
      <c r="A88" s="11">
        <v>1821</v>
      </c>
      <c r="B88" s="9">
        <v>118781</v>
      </c>
      <c r="C88" s="17">
        <v>4</v>
      </c>
      <c r="D88" s="15">
        <f>B88+(C88/8)</f>
        <v>118781.5</v>
      </c>
      <c r="E88" s="5">
        <f>D88*0.2269</f>
        <v>26951.52235</v>
      </c>
    </row>
    <row r="89" spans="1:5" ht="12.75">
      <c r="A89" s="11">
        <v>1822</v>
      </c>
      <c r="B89" s="9">
        <v>104181</v>
      </c>
      <c r="C89" s="17">
        <v>3</v>
      </c>
      <c r="D89" s="15">
        <f>B89+(C89/8)</f>
        <v>104181.375</v>
      </c>
      <c r="E89" s="5">
        <f>D89*0.2269</f>
        <v>23638.7539875</v>
      </c>
    </row>
    <row r="90" spans="1:5" ht="12.75">
      <c r="A90" s="11">
        <v>1823</v>
      </c>
      <c r="B90" s="9">
        <v>37807</v>
      </c>
      <c r="C90" s="17">
        <v>6.25</v>
      </c>
      <c r="D90" s="15">
        <f>B90+(C90/8)</f>
        <v>37807.78125</v>
      </c>
      <c r="E90" s="5">
        <f>D90*0.2269</f>
        <v>8578.585565625</v>
      </c>
    </row>
    <row r="91" spans="1:5" ht="12.75">
      <c r="A91" s="11">
        <v>1824</v>
      </c>
      <c r="B91" s="9">
        <v>68467</v>
      </c>
      <c r="C91" s="17">
        <v>4</v>
      </c>
      <c r="D91" s="15">
        <f>B91+(C91/8)</f>
        <v>68467.5</v>
      </c>
      <c r="E91" s="5">
        <f>D91*0.2269</f>
        <v>15535.275749999999</v>
      </c>
    </row>
    <row r="92" spans="1:5" ht="12.75">
      <c r="A92" s="11"/>
      <c r="B92" s="9"/>
      <c r="C92" s="17"/>
      <c r="D92" s="15"/>
      <c r="E92" s="5"/>
    </row>
    <row r="93" spans="1:5" ht="12.75">
      <c r="A93" s="11" t="s">
        <v>192</v>
      </c>
      <c r="B93" s="9"/>
      <c r="C93" s="17"/>
      <c r="D93" s="15"/>
      <c r="E93" s="5">
        <f>SUM(E87:E92)/5</f>
        <v>36564.800278124996</v>
      </c>
    </row>
    <row r="94" spans="1:5" ht="12.75">
      <c r="A94" s="11"/>
      <c r="B94" s="9"/>
      <c r="C94" s="17"/>
      <c r="D94" s="15"/>
      <c r="E94" s="5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9"/>
  </sheetPr>
  <dimension ref="A1:E3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4" max="4" width="11.8515625" style="0" customWidth="1"/>
    <col min="5" max="5" width="10.7109375" style="0" customWidth="1"/>
  </cols>
  <sheetData>
    <row r="1" spans="1:5" ht="12.75">
      <c r="A1" s="11" t="s">
        <v>3</v>
      </c>
      <c r="B1" s="10" t="s">
        <v>522</v>
      </c>
      <c r="C1" s="17"/>
      <c r="D1" s="15"/>
      <c r="E1" s="5"/>
    </row>
    <row r="2" spans="1:5" ht="12.75">
      <c r="A2" s="11"/>
      <c r="B2" s="10" t="s">
        <v>339</v>
      </c>
      <c r="C2" s="17"/>
      <c r="D2" s="15"/>
      <c r="E2" s="5"/>
    </row>
    <row r="3" spans="1:5" ht="12.75">
      <c r="A3" s="11"/>
      <c r="B3" s="9"/>
      <c r="C3" s="17"/>
      <c r="D3" s="15"/>
      <c r="E3" s="5"/>
    </row>
    <row r="4" spans="1:5" ht="12.75">
      <c r="A4" s="11"/>
      <c r="B4" s="9"/>
      <c r="C4" s="17"/>
      <c r="D4" s="15"/>
      <c r="E4" s="5"/>
    </row>
    <row r="5" spans="1:5" ht="12.75">
      <c r="A5" s="11" t="s">
        <v>575</v>
      </c>
      <c r="B5" s="10" t="s">
        <v>408</v>
      </c>
      <c r="C5" s="18" t="s">
        <v>464</v>
      </c>
      <c r="D5" s="16" t="s">
        <v>433</v>
      </c>
      <c r="E5" s="4" t="s">
        <v>388</v>
      </c>
    </row>
    <row r="6" spans="1:5" ht="12.75">
      <c r="A6" s="11"/>
      <c r="B6" s="10" t="s">
        <v>514</v>
      </c>
      <c r="C6" s="18"/>
      <c r="D6" s="16" t="s">
        <v>408</v>
      </c>
      <c r="E6" s="4" t="s">
        <v>302</v>
      </c>
    </row>
    <row r="7" spans="1:5" ht="12.75">
      <c r="A7" s="11"/>
      <c r="B7" s="9"/>
      <c r="C7" s="17"/>
      <c r="D7" s="15"/>
      <c r="E7" s="5"/>
    </row>
    <row r="8" spans="1:5" ht="12.75">
      <c r="A8" s="11"/>
      <c r="B8" s="9"/>
      <c r="C8" s="17"/>
      <c r="D8" s="15"/>
      <c r="E8" s="5"/>
    </row>
    <row r="9" spans="1:5" ht="12.75">
      <c r="A9" s="11" t="s">
        <v>121</v>
      </c>
      <c r="B9" s="9"/>
      <c r="C9" s="9"/>
      <c r="E9" s="5">
        <v>45825.45008</v>
      </c>
    </row>
    <row r="10" spans="1:5" ht="12.75">
      <c r="A10" s="11" t="s">
        <v>125</v>
      </c>
      <c r="B10" s="9"/>
      <c r="C10" s="9"/>
      <c r="E10" s="5">
        <v>44210.42125999999</v>
      </c>
    </row>
    <row r="11" spans="1:5" ht="12.75">
      <c r="A11" s="11" t="s">
        <v>127</v>
      </c>
      <c r="B11" s="9"/>
      <c r="C11" s="9"/>
      <c r="E11" s="5">
        <v>18007.174267999995</v>
      </c>
    </row>
    <row r="12" spans="1:5" ht="12.75">
      <c r="A12" s="11" t="s">
        <v>131</v>
      </c>
      <c r="B12" s="9"/>
      <c r="C12" s="9"/>
      <c r="E12" s="5">
        <v>36257.75778</v>
      </c>
    </row>
    <row r="13" spans="1:5" ht="12.75">
      <c r="A13" s="11" t="s">
        <v>133</v>
      </c>
      <c r="B13" s="9"/>
      <c r="C13" s="9"/>
      <c r="E13" s="5">
        <v>29034.5778</v>
      </c>
    </row>
    <row r="14" spans="1:5" ht="12.75">
      <c r="A14" s="11" t="s">
        <v>137</v>
      </c>
      <c r="B14" s="9"/>
      <c r="C14" s="9"/>
      <c r="E14" s="5">
        <v>37018.145059999995</v>
      </c>
    </row>
    <row r="15" spans="1:5" ht="12.75">
      <c r="A15" s="11" t="s">
        <v>139</v>
      </c>
      <c r="B15" s="9"/>
      <c r="C15" s="9"/>
      <c r="E15" s="5">
        <v>37470.62904</v>
      </c>
    </row>
    <row r="16" spans="1:5" ht="12.75">
      <c r="A16" s="11" t="s">
        <v>143</v>
      </c>
      <c r="B16" s="9"/>
      <c r="C16" s="17"/>
      <c r="E16" s="5">
        <v>34318.625</v>
      </c>
    </row>
    <row r="17" spans="1:5" ht="12.75">
      <c r="A17" s="11" t="s">
        <v>145</v>
      </c>
      <c r="B17" s="9"/>
      <c r="C17" s="17"/>
      <c r="D17" s="15"/>
      <c r="E17" s="5"/>
    </row>
    <row r="18" spans="1:5" ht="12.75">
      <c r="A18" s="11" t="s">
        <v>149</v>
      </c>
      <c r="B18" s="9"/>
      <c r="C18" s="17"/>
      <c r="D18" s="15"/>
      <c r="E18" s="5"/>
    </row>
    <row r="19" spans="1:5" ht="12.75">
      <c r="A19" s="11" t="s">
        <v>151</v>
      </c>
      <c r="B19" s="9"/>
      <c r="C19" s="17"/>
      <c r="D19" s="15"/>
      <c r="E19" s="5"/>
    </row>
    <row r="20" spans="1:5" ht="12.75">
      <c r="A20" s="11" t="s">
        <v>155</v>
      </c>
      <c r="B20" s="9"/>
      <c r="C20" s="17"/>
      <c r="D20" s="15"/>
      <c r="E20" s="5"/>
    </row>
    <row r="21" spans="1:5" ht="12.75">
      <c r="A21" s="11" t="s">
        <v>157</v>
      </c>
      <c r="B21" s="9"/>
      <c r="C21" s="17"/>
      <c r="D21" s="15"/>
      <c r="E21" s="5"/>
    </row>
    <row r="22" spans="1:5" ht="12.75">
      <c r="A22" s="11" t="s">
        <v>160</v>
      </c>
      <c r="B22" s="9"/>
      <c r="C22" s="17"/>
      <c r="D22" s="15"/>
      <c r="E22" s="5"/>
    </row>
    <row r="23" spans="1:5" ht="12.75">
      <c r="A23" s="11" t="s">
        <v>161</v>
      </c>
      <c r="B23" s="9"/>
      <c r="C23" s="17"/>
      <c r="D23" s="15"/>
      <c r="E23" s="5">
        <v>55310.399040625</v>
      </c>
    </row>
    <row r="24" spans="1:5" ht="12.75">
      <c r="A24" s="11" t="s">
        <v>166</v>
      </c>
      <c r="B24" s="9"/>
      <c r="C24" s="17"/>
      <c r="D24" s="15"/>
      <c r="E24" s="5">
        <v>61745.233406249994</v>
      </c>
    </row>
    <row r="25" spans="1:5" ht="12.75">
      <c r="A25" s="11" t="s">
        <v>167</v>
      </c>
      <c r="B25" s="9"/>
      <c r="C25" s="17"/>
      <c r="D25" s="15"/>
      <c r="E25" s="5">
        <v>72843.75477249999</v>
      </c>
    </row>
    <row r="26" spans="1:5" ht="12.75">
      <c r="A26" s="11" t="s">
        <v>172</v>
      </c>
      <c r="B26" s="9"/>
      <c r="C26" s="17"/>
      <c r="D26" s="15"/>
      <c r="E26" s="5">
        <v>79582.11752249999</v>
      </c>
    </row>
    <row r="27" spans="1:5" ht="12.75">
      <c r="A27" s="11" t="s">
        <v>173</v>
      </c>
      <c r="B27" s="9"/>
      <c r="C27" s="17"/>
      <c r="D27" s="15"/>
      <c r="E27" s="5">
        <v>109161.646725</v>
      </c>
    </row>
    <row r="28" spans="1:5" ht="12.75">
      <c r="A28" s="11" t="s">
        <v>178</v>
      </c>
      <c r="B28" s="9"/>
      <c r="C28" s="17"/>
      <c r="D28" s="15"/>
      <c r="E28" s="5">
        <v>126354.53475249998</v>
      </c>
    </row>
    <row r="29" spans="1:5" ht="12.75">
      <c r="A29" s="11" t="s">
        <v>182</v>
      </c>
      <c r="B29" s="9"/>
      <c r="C29" s="17"/>
      <c r="D29" s="15"/>
      <c r="E29" s="5">
        <v>120477.3596075</v>
      </c>
    </row>
    <row r="30" spans="1:5" ht="12.75">
      <c r="A30" s="11" t="s">
        <v>185</v>
      </c>
      <c r="B30" s="9"/>
      <c r="C30" s="17"/>
      <c r="D30" s="15"/>
      <c r="E30" s="5">
        <v>106318.21817625</v>
      </c>
    </row>
    <row r="31" spans="1:5" ht="12.75">
      <c r="A31" s="11" t="s">
        <v>188</v>
      </c>
      <c r="B31" s="9"/>
      <c r="C31" s="17"/>
      <c r="D31" s="15"/>
      <c r="E31" s="5">
        <v>84424.55634312499</v>
      </c>
    </row>
    <row r="32" spans="1:5" ht="12.75">
      <c r="A32" s="11" t="s">
        <v>190</v>
      </c>
      <c r="B32" s="9"/>
      <c r="C32" s="17"/>
      <c r="D32" s="15"/>
      <c r="E32" s="5">
        <v>61405.955508750005</v>
      </c>
    </row>
    <row r="33" spans="1:5" ht="12.75">
      <c r="A33" s="11" t="s">
        <v>192</v>
      </c>
      <c r="B33" s="9"/>
      <c r="C33" s="17"/>
      <c r="D33" s="15"/>
      <c r="E33" s="5">
        <v>36564.800278124996</v>
      </c>
    </row>
    <row r="34" spans="1:5" ht="12.75">
      <c r="A34" s="11"/>
      <c r="B34" s="9"/>
      <c r="C34" s="17"/>
      <c r="D34" s="15"/>
      <c r="E34" s="5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</sheetPr>
  <dimension ref="A1:H168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8.421875" style="11" customWidth="1"/>
    <col min="3" max="3" width="10.140625" style="0" customWidth="1"/>
    <col min="5" max="5" width="15.140625" style="9" customWidth="1"/>
    <col min="6" max="6" width="10.140625" style="5" customWidth="1"/>
    <col min="7" max="7" width="8.421875" style="5" customWidth="1"/>
    <col min="8" max="8" width="10.28125" style="4" customWidth="1"/>
  </cols>
  <sheetData>
    <row r="1" ht="12.75">
      <c r="B1" s="1" t="s">
        <v>579</v>
      </c>
    </row>
    <row r="2" ht="12.75">
      <c r="B2" s="10" t="s">
        <v>6</v>
      </c>
    </row>
    <row r="4" spans="1:8" ht="12.75">
      <c r="A4" s="11" t="s">
        <v>575</v>
      </c>
      <c r="B4" s="1" t="s">
        <v>448</v>
      </c>
      <c r="C4" s="1" t="s">
        <v>448</v>
      </c>
      <c r="D4" s="1" t="s">
        <v>453</v>
      </c>
      <c r="E4" s="10" t="s">
        <v>465</v>
      </c>
      <c r="F4" s="4" t="s">
        <v>466</v>
      </c>
      <c r="G4" s="4" t="s">
        <v>256</v>
      </c>
      <c r="H4" s="4" t="s">
        <v>210</v>
      </c>
    </row>
    <row r="5" spans="2:8" ht="12.75">
      <c r="B5" s="1" t="s">
        <v>533</v>
      </c>
      <c r="C5" s="1" t="s">
        <v>277</v>
      </c>
      <c r="D5" s="1" t="s">
        <v>257</v>
      </c>
      <c r="E5" s="10" t="s">
        <v>404</v>
      </c>
      <c r="F5" s="4" t="s">
        <v>388</v>
      </c>
      <c r="G5" s="4" t="s">
        <v>241</v>
      </c>
      <c r="H5" s="4" t="s">
        <v>282</v>
      </c>
    </row>
    <row r="7" spans="1:8" ht="12.75">
      <c r="A7" s="11">
        <v>1559</v>
      </c>
      <c r="B7" t="s">
        <v>348</v>
      </c>
      <c r="C7" t="s">
        <v>258</v>
      </c>
      <c r="D7">
        <v>365</v>
      </c>
      <c r="E7" s="9">
        <v>84695</v>
      </c>
      <c r="F7" s="5">
        <f aca="true" t="shared" si="0" ref="F7:F38">E7*0.2269</f>
        <v>19217.2955</v>
      </c>
      <c r="G7" s="5">
        <f aca="true" t="shared" si="1" ref="G7:G35">F7/D7</f>
        <v>52.65012465753425</v>
      </c>
      <c r="H7" s="4">
        <f aca="true" t="shared" si="2" ref="H7:H27">G7*365</f>
        <v>19217.2955</v>
      </c>
    </row>
    <row r="8" spans="1:8" ht="12.75">
      <c r="A8" s="11">
        <v>1560</v>
      </c>
      <c r="B8" t="s">
        <v>348</v>
      </c>
      <c r="C8" t="s">
        <v>258</v>
      </c>
      <c r="D8">
        <v>365</v>
      </c>
      <c r="E8" s="9">
        <v>103006</v>
      </c>
      <c r="F8" s="5">
        <f t="shared" si="0"/>
        <v>23372.0614</v>
      </c>
      <c r="G8" s="5">
        <f t="shared" si="1"/>
        <v>64.03304493150685</v>
      </c>
      <c r="H8" s="4">
        <f t="shared" si="2"/>
        <v>23372.0614</v>
      </c>
    </row>
    <row r="9" spans="1:8" ht="12.75">
      <c r="A9" s="11">
        <v>1561</v>
      </c>
      <c r="B9" t="s">
        <v>348</v>
      </c>
      <c r="C9" t="s">
        <v>258</v>
      </c>
      <c r="D9">
        <v>365</v>
      </c>
      <c r="E9" s="9">
        <v>107540</v>
      </c>
      <c r="F9" s="5">
        <f t="shared" si="0"/>
        <v>24400.825999999997</v>
      </c>
      <c r="G9" s="5">
        <f t="shared" si="1"/>
        <v>66.85157808219178</v>
      </c>
      <c r="H9" s="4">
        <f t="shared" si="2"/>
        <v>24400.826</v>
      </c>
    </row>
    <row r="10" spans="1:8" ht="12.75">
      <c r="A10" s="11">
        <v>1562</v>
      </c>
      <c r="B10" t="s">
        <v>348</v>
      </c>
      <c r="C10" t="s">
        <v>258</v>
      </c>
      <c r="D10">
        <v>365</v>
      </c>
      <c r="E10" s="9">
        <v>118243</v>
      </c>
      <c r="F10" s="5">
        <f t="shared" si="0"/>
        <v>26829.3367</v>
      </c>
      <c r="G10" s="5">
        <f t="shared" si="1"/>
        <v>73.50503205479453</v>
      </c>
      <c r="H10" s="4">
        <f t="shared" si="2"/>
        <v>26829.336700000003</v>
      </c>
    </row>
    <row r="11" spans="1:8" ht="12.75">
      <c r="A11" s="11">
        <v>1563</v>
      </c>
      <c r="B11" t="s">
        <v>348</v>
      </c>
      <c r="C11" t="s">
        <v>258</v>
      </c>
      <c r="D11">
        <v>365</v>
      </c>
      <c r="E11" s="9">
        <v>131874</v>
      </c>
      <c r="F11" s="5">
        <f t="shared" si="0"/>
        <v>29922.2106</v>
      </c>
      <c r="G11" s="5">
        <f t="shared" si="1"/>
        <v>81.97865917808218</v>
      </c>
      <c r="H11" s="4">
        <f t="shared" si="2"/>
        <v>29922.210599999995</v>
      </c>
    </row>
    <row r="12" spans="1:8" ht="12.75">
      <c r="A12" s="11">
        <v>1564</v>
      </c>
      <c r="B12" t="s">
        <v>348</v>
      </c>
      <c r="C12" t="s">
        <v>258</v>
      </c>
      <c r="D12">
        <v>365</v>
      </c>
      <c r="E12" s="9">
        <v>126711</v>
      </c>
      <c r="F12" s="5">
        <f t="shared" si="0"/>
        <v>28750.725899999998</v>
      </c>
      <c r="G12" s="5">
        <f t="shared" si="1"/>
        <v>78.76911205479452</v>
      </c>
      <c r="H12" s="4">
        <f t="shared" si="2"/>
        <v>28750.725899999998</v>
      </c>
    </row>
    <row r="13" spans="1:8" ht="12.75">
      <c r="A13" s="11">
        <v>1565</v>
      </c>
      <c r="B13" t="s">
        <v>348</v>
      </c>
      <c r="C13" t="s">
        <v>258</v>
      </c>
      <c r="D13">
        <v>365</v>
      </c>
      <c r="E13" s="9">
        <v>127386</v>
      </c>
      <c r="F13" s="5">
        <f t="shared" si="0"/>
        <v>28903.8834</v>
      </c>
      <c r="G13" s="5">
        <f t="shared" si="1"/>
        <v>79.1887216438356</v>
      </c>
      <c r="H13" s="4">
        <f t="shared" si="2"/>
        <v>28903.883399999995</v>
      </c>
    </row>
    <row r="14" spans="1:8" ht="12.75">
      <c r="A14" s="11">
        <v>1566</v>
      </c>
      <c r="B14" t="s">
        <v>348</v>
      </c>
      <c r="C14" t="s">
        <v>258</v>
      </c>
      <c r="D14">
        <v>365</v>
      </c>
      <c r="E14" s="9">
        <v>129475</v>
      </c>
      <c r="F14" s="5">
        <f t="shared" si="0"/>
        <v>29377.8775</v>
      </c>
      <c r="G14" s="5">
        <f t="shared" si="1"/>
        <v>80.48733561643836</v>
      </c>
      <c r="H14" s="4">
        <f t="shared" si="2"/>
        <v>29377.877500000002</v>
      </c>
    </row>
    <row r="15" spans="1:8" ht="12.75">
      <c r="A15" s="11">
        <v>1567</v>
      </c>
      <c r="B15" t="s">
        <v>348</v>
      </c>
      <c r="C15" t="s">
        <v>258</v>
      </c>
      <c r="D15">
        <v>365</v>
      </c>
      <c r="E15" s="9">
        <v>139356</v>
      </c>
      <c r="F15" s="5">
        <f t="shared" si="0"/>
        <v>31619.876399999997</v>
      </c>
      <c r="G15" s="5">
        <f t="shared" si="1"/>
        <v>86.62979835616437</v>
      </c>
      <c r="H15" s="4">
        <f t="shared" si="2"/>
        <v>31619.876399999997</v>
      </c>
    </row>
    <row r="16" spans="1:8" ht="12.75">
      <c r="A16" s="11">
        <v>1568</v>
      </c>
      <c r="B16" t="s">
        <v>348</v>
      </c>
      <c r="C16" t="s">
        <v>258</v>
      </c>
      <c r="D16">
        <v>365</v>
      </c>
      <c r="E16" s="9">
        <v>141184</v>
      </c>
      <c r="F16" s="5">
        <f t="shared" si="0"/>
        <v>32034.649599999997</v>
      </c>
      <c r="G16" s="5">
        <f t="shared" si="1"/>
        <v>87.76616328767122</v>
      </c>
      <c r="H16" s="4">
        <f t="shared" si="2"/>
        <v>32034.649599999993</v>
      </c>
    </row>
    <row r="17" spans="1:8" ht="12.75">
      <c r="A17" s="11">
        <v>1569</v>
      </c>
      <c r="B17" t="s">
        <v>348</v>
      </c>
      <c r="C17" t="s">
        <v>258</v>
      </c>
      <c r="D17">
        <v>365</v>
      </c>
      <c r="E17" s="9">
        <v>137967</v>
      </c>
      <c r="F17" s="5">
        <f t="shared" si="0"/>
        <v>31304.7123</v>
      </c>
      <c r="G17" s="5">
        <f t="shared" si="1"/>
        <v>85.76633506849315</v>
      </c>
      <c r="H17" s="4">
        <f t="shared" si="2"/>
        <v>31304.7123</v>
      </c>
    </row>
    <row r="18" spans="1:8" ht="12.75">
      <c r="A18" s="11">
        <v>1570</v>
      </c>
      <c r="B18" t="s">
        <v>348</v>
      </c>
      <c r="C18" t="s">
        <v>258</v>
      </c>
      <c r="D18">
        <v>365</v>
      </c>
      <c r="E18" s="9">
        <v>146114</v>
      </c>
      <c r="F18" s="5">
        <f t="shared" si="0"/>
        <v>33153.266599999995</v>
      </c>
      <c r="G18" s="5">
        <f t="shared" si="1"/>
        <v>90.83086739726026</v>
      </c>
      <c r="H18" s="4">
        <f t="shared" si="2"/>
        <v>33153.266599999995</v>
      </c>
    </row>
    <row r="19" spans="1:8" ht="12.75">
      <c r="A19" s="11">
        <v>1571</v>
      </c>
      <c r="B19" t="s">
        <v>348</v>
      </c>
      <c r="C19" t="s">
        <v>258</v>
      </c>
      <c r="D19">
        <v>365</v>
      </c>
      <c r="E19" s="9">
        <v>145358</v>
      </c>
      <c r="F19" s="5">
        <f t="shared" si="0"/>
        <v>32981.7302</v>
      </c>
      <c r="G19" s="5">
        <f t="shared" si="1"/>
        <v>90.36090465753423</v>
      </c>
      <c r="H19" s="4">
        <f t="shared" si="2"/>
        <v>32981.7302</v>
      </c>
    </row>
    <row r="20" spans="1:8" ht="12.75">
      <c r="A20" s="11">
        <v>1572</v>
      </c>
      <c r="B20" t="s">
        <v>348</v>
      </c>
      <c r="C20" t="s">
        <v>258</v>
      </c>
      <c r="D20">
        <v>365</v>
      </c>
      <c r="E20" s="9">
        <v>148519</v>
      </c>
      <c r="F20" s="5">
        <f t="shared" si="0"/>
        <v>33698.9611</v>
      </c>
      <c r="G20" s="5">
        <f t="shared" si="1"/>
        <v>92.3259208219178</v>
      </c>
      <c r="H20" s="4">
        <f t="shared" si="2"/>
        <v>33698.9611</v>
      </c>
    </row>
    <row r="21" spans="1:8" ht="12.75">
      <c r="A21" s="11">
        <v>1573</v>
      </c>
      <c r="B21" t="s">
        <v>348</v>
      </c>
      <c r="C21" t="s">
        <v>258</v>
      </c>
      <c r="D21">
        <v>365</v>
      </c>
      <c r="E21" s="9">
        <v>165910</v>
      </c>
      <c r="F21" s="5">
        <f t="shared" si="0"/>
        <v>37644.979</v>
      </c>
      <c r="G21" s="5">
        <f t="shared" si="1"/>
        <v>103.13692876712328</v>
      </c>
      <c r="H21" s="4">
        <f t="shared" si="2"/>
        <v>37644.979</v>
      </c>
    </row>
    <row r="22" spans="1:8" ht="12.75">
      <c r="A22" s="11">
        <v>1574</v>
      </c>
      <c r="B22" t="s">
        <v>348</v>
      </c>
      <c r="C22" t="s">
        <v>258</v>
      </c>
      <c r="D22">
        <v>365</v>
      </c>
      <c r="E22" s="9">
        <v>160862</v>
      </c>
      <c r="F22" s="5">
        <f t="shared" si="0"/>
        <v>36499.5878</v>
      </c>
      <c r="G22" s="5">
        <f t="shared" si="1"/>
        <v>99.9988706849315</v>
      </c>
      <c r="H22" s="4">
        <f t="shared" si="2"/>
        <v>36499.5878</v>
      </c>
    </row>
    <row r="23" spans="1:8" ht="12.75">
      <c r="A23" s="11">
        <v>1575</v>
      </c>
      <c r="B23" t="s">
        <v>348</v>
      </c>
      <c r="C23" t="s">
        <v>258</v>
      </c>
      <c r="D23">
        <v>365</v>
      </c>
      <c r="E23" s="9">
        <v>171004</v>
      </c>
      <c r="F23" s="5">
        <f t="shared" si="0"/>
        <v>38800.8076</v>
      </c>
      <c r="G23" s="5">
        <f t="shared" si="1"/>
        <v>106.30358246575342</v>
      </c>
      <c r="H23" s="4">
        <f t="shared" si="2"/>
        <v>38800.8076</v>
      </c>
    </row>
    <row r="24" spans="1:8" ht="12.75">
      <c r="A24" s="11">
        <v>1576</v>
      </c>
      <c r="B24" t="s">
        <v>348</v>
      </c>
      <c r="C24" t="s">
        <v>258</v>
      </c>
      <c r="D24">
        <v>365</v>
      </c>
      <c r="E24" s="9">
        <v>165166</v>
      </c>
      <c r="F24" s="5">
        <f t="shared" si="0"/>
        <v>37476.1654</v>
      </c>
      <c r="G24" s="5">
        <f t="shared" si="1"/>
        <v>102.67442575342466</v>
      </c>
      <c r="H24" s="4">
        <f t="shared" si="2"/>
        <v>37476.1654</v>
      </c>
    </row>
    <row r="25" spans="1:8" ht="12.75">
      <c r="A25" s="11">
        <v>1577</v>
      </c>
      <c r="B25" t="s">
        <v>348</v>
      </c>
      <c r="C25" t="s">
        <v>258</v>
      </c>
      <c r="D25">
        <v>365</v>
      </c>
      <c r="E25" s="9">
        <v>117368</v>
      </c>
      <c r="F25" s="5">
        <f t="shared" si="0"/>
        <v>26630.799199999998</v>
      </c>
      <c r="G25" s="5">
        <f t="shared" si="1"/>
        <v>72.96109369863014</v>
      </c>
      <c r="H25" s="4">
        <f t="shared" si="2"/>
        <v>26630.7992</v>
      </c>
    </row>
    <row r="26" spans="1:8" ht="12.75">
      <c r="A26" s="11">
        <v>1578</v>
      </c>
      <c r="B26" t="s">
        <v>348</v>
      </c>
      <c r="C26" t="s">
        <v>258</v>
      </c>
      <c r="D26">
        <v>365</v>
      </c>
      <c r="E26" s="9">
        <v>134600</v>
      </c>
      <c r="F26" s="5">
        <f t="shared" si="0"/>
        <v>30540.739999999998</v>
      </c>
      <c r="G26" s="5">
        <f t="shared" si="1"/>
        <v>83.6732602739726</v>
      </c>
      <c r="H26" s="4">
        <f t="shared" si="2"/>
        <v>30540.739999999998</v>
      </c>
    </row>
    <row r="27" spans="1:8" ht="12.75">
      <c r="A27" s="11">
        <v>1579</v>
      </c>
      <c r="B27" t="s">
        <v>348</v>
      </c>
      <c r="C27" t="s">
        <v>258</v>
      </c>
      <c r="D27">
        <v>365</v>
      </c>
      <c r="E27" s="9">
        <v>128522</v>
      </c>
      <c r="F27" s="5">
        <f t="shared" si="0"/>
        <v>29161.641799999998</v>
      </c>
      <c r="G27" s="5">
        <f t="shared" si="1"/>
        <v>79.89490904109589</v>
      </c>
      <c r="H27" s="4">
        <f t="shared" si="2"/>
        <v>29161.641799999998</v>
      </c>
    </row>
    <row r="28" spans="1:8" ht="12.75">
      <c r="A28" s="11">
        <v>1580</v>
      </c>
      <c r="B28" t="s">
        <v>447</v>
      </c>
      <c r="C28" t="s">
        <v>447</v>
      </c>
      <c r="D28">
        <v>365</v>
      </c>
      <c r="F28" s="5">
        <f t="shared" si="0"/>
        <v>0</v>
      </c>
      <c r="G28" s="5">
        <f t="shared" si="1"/>
        <v>0</v>
      </c>
      <c r="H28" s="4">
        <f>(H27+H29)/2</f>
        <v>28137.528649999997</v>
      </c>
    </row>
    <row r="29" spans="1:8" ht="12.75">
      <c r="A29" s="11">
        <v>1581</v>
      </c>
      <c r="B29" t="s">
        <v>348</v>
      </c>
      <c r="C29" t="s">
        <v>258</v>
      </c>
      <c r="D29">
        <v>365</v>
      </c>
      <c r="E29" s="9">
        <v>119495</v>
      </c>
      <c r="F29" s="5">
        <f t="shared" si="0"/>
        <v>27113.4155</v>
      </c>
      <c r="G29" s="5">
        <f t="shared" si="1"/>
        <v>74.2833301369863</v>
      </c>
      <c r="H29" s="4">
        <f>G29*365</f>
        <v>27113.415499999996</v>
      </c>
    </row>
    <row r="30" spans="1:8" ht="12.75">
      <c r="A30" s="11">
        <v>1582</v>
      </c>
      <c r="B30" t="s">
        <v>348</v>
      </c>
      <c r="C30" t="s">
        <v>258</v>
      </c>
      <c r="D30">
        <v>365</v>
      </c>
      <c r="E30" s="9">
        <v>121363</v>
      </c>
      <c r="F30" s="5">
        <f t="shared" si="0"/>
        <v>27537.2647</v>
      </c>
      <c r="G30" s="5">
        <f t="shared" si="1"/>
        <v>75.4445608219178</v>
      </c>
      <c r="H30" s="4">
        <f>G30*365</f>
        <v>27537.2647</v>
      </c>
    </row>
    <row r="31" spans="1:8" ht="12.75">
      <c r="A31" s="11">
        <v>1583</v>
      </c>
      <c r="B31" t="s">
        <v>348</v>
      </c>
      <c r="C31" t="s">
        <v>258</v>
      </c>
      <c r="D31">
        <v>365</v>
      </c>
      <c r="E31" s="9">
        <v>117284</v>
      </c>
      <c r="F31" s="5">
        <f t="shared" si="0"/>
        <v>26611.739599999997</v>
      </c>
      <c r="G31" s="5">
        <f t="shared" si="1"/>
        <v>72.90887561643835</v>
      </c>
      <c r="H31" s="4">
        <f>G31*365</f>
        <v>26611.739599999997</v>
      </c>
    </row>
    <row r="32" spans="1:8" ht="12.75">
      <c r="A32" s="11">
        <v>1584</v>
      </c>
      <c r="B32" t="s">
        <v>348</v>
      </c>
      <c r="C32" t="s">
        <v>258</v>
      </c>
      <c r="D32">
        <v>365</v>
      </c>
      <c r="E32" s="9">
        <v>116000</v>
      </c>
      <c r="F32" s="5">
        <f t="shared" si="0"/>
        <v>26320.399999999998</v>
      </c>
      <c r="G32" s="5">
        <f t="shared" si="1"/>
        <v>72.11068493150684</v>
      </c>
      <c r="H32" s="4">
        <f>G32*365</f>
        <v>26320.399999999998</v>
      </c>
    </row>
    <row r="33" spans="1:8" ht="12.75">
      <c r="A33" s="11">
        <v>1585</v>
      </c>
      <c r="B33" t="s">
        <v>348</v>
      </c>
      <c r="C33" t="s">
        <v>258</v>
      </c>
      <c r="D33">
        <v>365</v>
      </c>
      <c r="E33" s="9">
        <v>134343</v>
      </c>
      <c r="F33" s="5">
        <f t="shared" si="0"/>
        <v>30482.4267</v>
      </c>
      <c r="G33" s="5">
        <f t="shared" si="1"/>
        <v>83.51349780821919</v>
      </c>
      <c r="H33" s="4">
        <f>G33*365</f>
        <v>30482.426700000004</v>
      </c>
    </row>
    <row r="34" spans="1:8" ht="12.75">
      <c r="A34" s="11">
        <v>1586</v>
      </c>
      <c r="B34" t="s">
        <v>447</v>
      </c>
      <c r="C34" t="s">
        <v>447</v>
      </c>
      <c r="D34">
        <v>365</v>
      </c>
      <c r="F34" s="5">
        <f t="shared" si="0"/>
        <v>0</v>
      </c>
      <c r="G34" s="5">
        <f t="shared" si="1"/>
        <v>0</v>
      </c>
      <c r="H34" s="4">
        <f>(H33+H35)/2</f>
        <v>28092.978795467425</v>
      </c>
    </row>
    <row r="35" spans="1:8" ht="12.75">
      <c r="A35" s="11">
        <v>1587</v>
      </c>
      <c r="B35" t="s">
        <v>226</v>
      </c>
      <c r="C35" t="s">
        <v>392</v>
      </c>
      <c r="D35">
        <f>365-(10+2)</f>
        <v>353</v>
      </c>
      <c r="E35" s="9">
        <v>109557</v>
      </c>
      <c r="F35" s="5">
        <f t="shared" si="0"/>
        <v>24858.4833</v>
      </c>
      <c r="G35" s="5">
        <f t="shared" si="1"/>
        <v>70.42063257790369</v>
      </c>
      <c r="H35" s="4">
        <f>G35*365</f>
        <v>25703.530890934846</v>
      </c>
    </row>
    <row r="36" spans="1:8" ht="12.75">
      <c r="A36" s="11">
        <v>1588</v>
      </c>
      <c r="B36" t="s">
        <v>447</v>
      </c>
      <c r="C36" t="s">
        <v>447</v>
      </c>
      <c r="F36" s="5">
        <f t="shared" si="0"/>
        <v>0</v>
      </c>
      <c r="G36" s="5">
        <v>0</v>
      </c>
      <c r="H36" s="4">
        <f>(H35+H37)/2</f>
        <v>27418.858895467427</v>
      </c>
    </row>
    <row r="37" spans="1:8" ht="12.75">
      <c r="A37" s="11">
        <v>1589</v>
      </c>
      <c r="B37" t="s">
        <v>348</v>
      </c>
      <c r="C37" t="s">
        <v>258</v>
      </c>
      <c r="D37">
        <v>365</v>
      </c>
      <c r="E37" s="9">
        <v>128401</v>
      </c>
      <c r="F37" s="5">
        <f t="shared" si="0"/>
        <v>29134.1869</v>
      </c>
      <c r="G37" s="5">
        <f aca="true" t="shared" si="3" ref="G37:G52">F37/D37</f>
        <v>79.81969013698631</v>
      </c>
      <c r="H37" s="4">
        <f aca="true" t="shared" si="4" ref="H37:H52">G37*365</f>
        <v>29134.186900000004</v>
      </c>
    </row>
    <row r="38" spans="1:8" ht="12.75">
      <c r="A38" s="11">
        <v>1590</v>
      </c>
      <c r="B38" t="s">
        <v>348</v>
      </c>
      <c r="C38" t="s">
        <v>258</v>
      </c>
      <c r="D38">
        <v>365</v>
      </c>
      <c r="E38" s="9">
        <v>139786</v>
      </c>
      <c r="F38" s="5">
        <f t="shared" si="0"/>
        <v>31717.4434</v>
      </c>
      <c r="G38" s="5">
        <f t="shared" si="3"/>
        <v>86.89710520547945</v>
      </c>
      <c r="H38" s="4">
        <f t="shared" si="4"/>
        <v>31717.4434</v>
      </c>
    </row>
    <row r="39" spans="1:8" ht="12.75">
      <c r="A39" s="11">
        <v>1591</v>
      </c>
      <c r="B39" t="s">
        <v>348</v>
      </c>
      <c r="C39" t="s">
        <v>258</v>
      </c>
      <c r="D39">
        <v>365</v>
      </c>
      <c r="E39" s="9">
        <v>135074</v>
      </c>
      <c r="F39" s="5">
        <f aca="true" t="shared" si="5" ref="F39:F70">E39*0.2269</f>
        <v>30648.2906</v>
      </c>
      <c r="G39" s="5">
        <f t="shared" si="3"/>
        <v>83.9679194520548</v>
      </c>
      <c r="H39" s="4">
        <f t="shared" si="4"/>
        <v>30648.290600000004</v>
      </c>
    </row>
    <row r="40" spans="1:8" ht="12.75">
      <c r="A40" s="11">
        <v>1592</v>
      </c>
      <c r="B40" t="s">
        <v>348</v>
      </c>
      <c r="C40" t="s">
        <v>258</v>
      </c>
      <c r="D40">
        <v>365</v>
      </c>
      <c r="E40" s="9">
        <v>132671</v>
      </c>
      <c r="F40" s="5">
        <f t="shared" si="5"/>
        <v>30103.049899999998</v>
      </c>
      <c r="G40" s="5">
        <f t="shared" si="3"/>
        <v>82.47410931506849</v>
      </c>
      <c r="H40" s="4">
        <f t="shared" si="4"/>
        <v>30103.049899999998</v>
      </c>
    </row>
    <row r="41" spans="1:8" ht="12.75">
      <c r="A41" s="11">
        <v>1593</v>
      </c>
      <c r="B41" t="s">
        <v>348</v>
      </c>
      <c r="C41" t="s">
        <v>258</v>
      </c>
      <c r="D41">
        <v>365</v>
      </c>
      <c r="E41" s="9">
        <v>106295</v>
      </c>
      <c r="F41" s="5">
        <f t="shared" si="5"/>
        <v>24118.335499999997</v>
      </c>
      <c r="G41" s="5">
        <f t="shared" si="3"/>
        <v>66.07763150684931</v>
      </c>
      <c r="H41" s="4">
        <f t="shared" si="4"/>
        <v>24118.3355</v>
      </c>
    </row>
    <row r="42" spans="1:8" ht="12.75">
      <c r="A42" s="11">
        <v>1594</v>
      </c>
      <c r="B42" t="s">
        <v>348</v>
      </c>
      <c r="C42" t="s">
        <v>258</v>
      </c>
      <c r="D42">
        <v>365</v>
      </c>
      <c r="E42" s="9">
        <v>110040</v>
      </c>
      <c r="F42" s="5">
        <f t="shared" si="5"/>
        <v>24968.075999999997</v>
      </c>
      <c r="G42" s="5">
        <f t="shared" si="3"/>
        <v>68.40568767123287</v>
      </c>
      <c r="H42" s="4">
        <f t="shared" si="4"/>
        <v>24968.075999999997</v>
      </c>
    </row>
    <row r="43" spans="1:8" ht="12.75">
      <c r="A43" s="11">
        <v>1595</v>
      </c>
      <c r="B43" t="s">
        <v>348</v>
      </c>
      <c r="C43" t="s">
        <v>258</v>
      </c>
      <c r="D43">
        <v>365</v>
      </c>
      <c r="E43" s="9">
        <v>110959</v>
      </c>
      <c r="F43" s="5">
        <f t="shared" si="5"/>
        <v>25176.5971</v>
      </c>
      <c r="G43" s="5">
        <f t="shared" si="3"/>
        <v>68.97697835616438</v>
      </c>
      <c r="H43" s="4">
        <f t="shared" si="4"/>
        <v>25176.5971</v>
      </c>
    </row>
    <row r="44" spans="1:8" ht="12.75">
      <c r="A44" s="11">
        <v>1596</v>
      </c>
      <c r="B44" t="s">
        <v>349</v>
      </c>
      <c r="C44" t="s">
        <v>393</v>
      </c>
      <c r="D44">
        <f>365+31+28+31</f>
        <v>455</v>
      </c>
      <c r="E44" s="9">
        <f>29441+85000</f>
        <v>114441</v>
      </c>
      <c r="F44" s="5">
        <f t="shared" si="5"/>
        <v>25966.6629</v>
      </c>
      <c r="G44" s="5">
        <f t="shared" si="3"/>
        <v>57.06958879120879</v>
      </c>
      <c r="H44" s="4">
        <f t="shared" si="4"/>
        <v>20830.39990879121</v>
      </c>
    </row>
    <row r="45" spans="1:8" ht="12.75">
      <c r="A45" s="11">
        <v>1597</v>
      </c>
      <c r="B45" t="s">
        <v>219</v>
      </c>
      <c r="C45" t="s">
        <v>293</v>
      </c>
      <c r="D45">
        <f>365-(5+31+10)</f>
        <v>319</v>
      </c>
      <c r="E45" s="9">
        <v>92600</v>
      </c>
      <c r="F45" s="5">
        <f t="shared" si="5"/>
        <v>21010.94</v>
      </c>
      <c r="G45" s="5">
        <f t="shared" si="3"/>
        <v>65.86501567398119</v>
      </c>
      <c r="H45" s="4">
        <f t="shared" si="4"/>
        <v>24040.730721003136</v>
      </c>
    </row>
    <row r="46" spans="1:8" ht="12.75">
      <c r="A46" s="11">
        <v>1598</v>
      </c>
      <c r="B46" t="s">
        <v>225</v>
      </c>
      <c r="C46" t="s">
        <v>198</v>
      </c>
      <c r="D46">
        <v>365</v>
      </c>
      <c r="E46" s="9">
        <v>106138</v>
      </c>
      <c r="F46" s="5">
        <f t="shared" si="5"/>
        <v>24082.712199999998</v>
      </c>
      <c r="G46" s="5">
        <f t="shared" si="3"/>
        <v>65.98003342465753</v>
      </c>
      <c r="H46" s="4">
        <f t="shared" si="4"/>
        <v>24082.7122</v>
      </c>
    </row>
    <row r="47" spans="1:8" ht="12.75">
      <c r="A47" s="11">
        <v>1599</v>
      </c>
      <c r="B47" t="s">
        <v>225</v>
      </c>
      <c r="C47" t="s">
        <v>198</v>
      </c>
      <c r="D47">
        <v>365</v>
      </c>
      <c r="E47" s="9">
        <v>108000</v>
      </c>
      <c r="F47" s="5">
        <f t="shared" si="5"/>
        <v>24505.2</v>
      </c>
      <c r="G47" s="5">
        <f t="shared" si="3"/>
        <v>67.13753424657534</v>
      </c>
      <c r="H47" s="4">
        <f t="shared" si="4"/>
        <v>24505.2</v>
      </c>
    </row>
    <row r="48" spans="1:8" ht="12.75">
      <c r="A48" s="11">
        <v>1600</v>
      </c>
      <c r="B48" t="s">
        <v>218</v>
      </c>
      <c r="C48" t="s">
        <v>398</v>
      </c>
      <c r="D48">
        <v>365</v>
      </c>
      <c r="E48" s="9">
        <v>117091</v>
      </c>
      <c r="F48" s="5">
        <f t="shared" si="5"/>
        <v>26567.9479</v>
      </c>
      <c r="G48" s="5">
        <f t="shared" si="3"/>
        <v>72.78889835616438</v>
      </c>
      <c r="H48" s="4">
        <f t="shared" si="4"/>
        <v>26567.9479</v>
      </c>
    </row>
    <row r="49" spans="1:8" ht="12.75">
      <c r="A49" s="11">
        <v>1601</v>
      </c>
      <c r="B49" t="s">
        <v>225</v>
      </c>
      <c r="C49" t="s">
        <v>397</v>
      </c>
      <c r="D49">
        <v>365</v>
      </c>
      <c r="E49" s="9">
        <v>115060</v>
      </c>
      <c r="F49" s="5">
        <f t="shared" si="5"/>
        <v>26107.113999999998</v>
      </c>
      <c r="G49" s="5">
        <f t="shared" si="3"/>
        <v>71.52633972602739</v>
      </c>
      <c r="H49" s="4">
        <f t="shared" si="4"/>
        <v>26107.113999999998</v>
      </c>
    </row>
    <row r="50" spans="1:8" ht="12.75">
      <c r="A50" s="11">
        <v>1602</v>
      </c>
      <c r="B50" t="s">
        <v>218</v>
      </c>
      <c r="C50" t="s">
        <v>398</v>
      </c>
      <c r="D50">
        <v>365</v>
      </c>
      <c r="E50" s="9">
        <v>132661</v>
      </c>
      <c r="F50" s="5">
        <f t="shared" si="5"/>
        <v>30100.780899999998</v>
      </c>
      <c r="G50" s="5">
        <f t="shared" si="3"/>
        <v>82.46789287671233</v>
      </c>
      <c r="H50" s="4">
        <f t="shared" si="4"/>
        <v>30100.780899999998</v>
      </c>
    </row>
    <row r="51" spans="1:8" ht="12.75">
      <c r="A51" s="11">
        <v>1603</v>
      </c>
      <c r="B51" t="s">
        <v>229</v>
      </c>
      <c r="C51" t="s">
        <v>400</v>
      </c>
      <c r="D51">
        <v>365</v>
      </c>
      <c r="E51" s="9">
        <v>140935</v>
      </c>
      <c r="F51" s="5">
        <f t="shared" si="5"/>
        <v>31978.1515</v>
      </c>
      <c r="G51" s="5">
        <f t="shared" si="3"/>
        <v>87.61137397260273</v>
      </c>
      <c r="H51" s="4">
        <f t="shared" si="4"/>
        <v>31978.1515</v>
      </c>
    </row>
    <row r="52" spans="1:8" ht="12.75">
      <c r="A52" s="11">
        <v>1604</v>
      </c>
      <c r="B52" t="s">
        <v>218</v>
      </c>
      <c r="C52" t="s">
        <v>400</v>
      </c>
      <c r="D52">
        <v>365</v>
      </c>
      <c r="E52" s="9">
        <v>128828</v>
      </c>
      <c r="F52" s="5">
        <f t="shared" si="5"/>
        <v>29231.0732</v>
      </c>
      <c r="G52" s="5">
        <f t="shared" si="3"/>
        <v>80.08513205479451</v>
      </c>
      <c r="H52" s="4">
        <f t="shared" si="4"/>
        <v>29231.0732</v>
      </c>
    </row>
    <row r="53" spans="1:8" ht="12.75">
      <c r="A53" s="11">
        <v>1605</v>
      </c>
      <c r="B53" t="s">
        <v>447</v>
      </c>
      <c r="C53" t="s">
        <v>447</v>
      </c>
      <c r="F53" s="5">
        <f t="shared" si="5"/>
        <v>0</v>
      </c>
      <c r="G53" s="5">
        <v>0</v>
      </c>
      <c r="H53" s="4">
        <f>(H52+H54)/2</f>
        <v>31264.777899999997</v>
      </c>
    </row>
    <row r="54" spans="1:8" ht="12.75">
      <c r="A54" s="11">
        <v>1606</v>
      </c>
      <c r="B54" t="s">
        <v>218</v>
      </c>
      <c r="C54" t="s">
        <v>400</v>
      </c>
      <c r="D54">
        <v>365</v>
      </c>
      <c r="E54" s="9">
        <v>146754</v>
      </c>
      <c r="F54" s="5">
        <f t="shared" si="5"/>
        <v>33298.482599999996</v>
      </c>
      <c r="G54" s="5">
        <f aca="true" t="shared" si="6" ref="G54:G85">F54/D54</f>
        <v>91.22871945205478</v>
      </c>
      <c r="H54" s="4">
        <f aca="true" t="shared" si="7" ref="H54:H85">G54*365</f>
        <v>33298.482599999996</v>
      </c>
    </row>
    <row r="55" spans="1:8" ht="12.75">
      <c r="A55" s="11">
        <v>1607</v>
      </c>
      <c r="B55" t="s">
        <v>218</v>
      </c>
      <c r="C55" t="s">
        <v>400</v>
      </c>
      <c r="D55">
        <v>365</v>
      </c>
      <c r="E55" s="9">
        <v>149793</v>
      </c>
      <c r="F55" s="5">
        <f t="shared" si="5"/>
        <v>33988.0317</v>
      </c>
      <c r="G55" s="5">
        <f t="shared" si="6"/>
        <v>93.11789506849316</v>
      </c>
      <c r="H55" s="4">
        <f t="shared" si="7"/>
        <v>33988.0317</v>
      </c>
    </row>
    <row r="56" spans="1:8" ht="12.75">
      <c r="A56" s="11">
        <v>1608</v>
      </c>
      <c r="B56" t="s">
        <v>218</v>
      </c>
      <c r="C56" t="s">
        <v>400</v>
      </c>
      <c r="D56">
        <v>365</v>
      </c>
      <c r="E56" s="9">
        <v>154866</v>
      </c>
      <c r="F56" s="5">
        <f t="shared" si="5"/>
        <v>35139.0954</v>
      </c>
      <c r="G56" s="5">
        <f t="shared" si="6"/>
        <v>96.27149424657534</v>
      </c>
      <c r="H56" s="4">
        <f t="shared" si="7"/>
        <v>35139.0954</v>
      </c>
    </row>
    <row r="57" spans="1:8" ht="12.75">
      <c r="A57" s="11">
        <v>1609</v>
      </c>
      <c r="B57" t="s">
        <v>218</v>
      </c>
      <c r="C57" t="s">
        <v>400</v>
      </c>
      <c r="D57">
        <v>365</v>
      </c>
      <c r="E57" s="9">
        <v>136624</v>
      </c>
      <c r="F57" s="5">
        <f t="shared" si="5"/>
        <v>30999.9856</v>
      </c>
      <c r="G57" s="5">
        <f t="shared" si="6"/>
        <v>84.93146739726028</v>
      </c>
      <c r="H57" s="4">
        <f t="shared" si="7"/>
        <v>30999.9856</v>
      </c>
    </row>
    <row r="58" spans="1:8" ht="12.75">
      <c r="A58" s="11">
        <v>1610</v>
      </c>
      <c r="B58" t="s">
        <v>218</v>
      </c>
      <c r="C58" t="s">
        <v>400</v>
      </c>
      <c r="D58">
        <v>365</v>
      </c>
      <c r="E58" s="9">
        <v>163864</v>
      </c>
      <c r="F58" s="5">
        <f t="shared" si="5"/>
        <v>37180.7416</v>
      </c>
      <c r="G58" s="5">
        <f t="shared" si="6"/>
        <v>101.86504547945206</v>
      </c>
      <c r="H58" s="4">
        <f t="shared" si="7"/>
        <v>37180.7416</v>
      </c>
    </row>
    <row r="59" spans="1:8" ht="12.75">
      <c r="A59" s="11">
        <v>1611</v>
      </c>
      <c r="B59" t="s">
        <v>218</v>
      </c>
      <c r="C59" t="s">
        <v>400</v>
      </c>
      <c r="D59">
        <v>365</v>
      </c>
      <c r="E59" s="9">
        <v>178821</v>
      </c>
      <c r="F59" s="5">
        <f t="shared" si="5"/>
        <v>40574.484899999996</v>
      </c>
      <c r="G59" s="5">
        <f t="shared" si="6"/>
        <v>111.16297232876711</v>
      </c>
      <c r="H59" s="4">
        <f t="shared" si="7"/>
        <v>40574.484899999996</v>
      </c>
    </row>
    <row r="60" spans="1:8" ht="12.75">
      <c r="A60" s="11">
        <v>1612</v>
      </c>
      <c r="B60" t="s">
        <v>218</v>
      </c>
      <c r="C60" t="s">
        <v>400</v>
      </c>
      <c r="D60">
        <v>365</v>
      </c>
      <c r="E60" s="9">
        <v>185928</v>
      </c>
      <c r="F60" s="5">
        <f t="shared" si="5"/>
        <v>42187.0632</v>
      </c>
      <c r="G60" s="5">
        <f t="shared" si="6"/>
        <v>115.58099506849314</v>
      </c>
      <c r="H60" s="4">
        <f t="shared" si="7"/>
        <v>42187.0632</v>
      </c>
    </row>
    <row r="61" spans="1:8" ht="12.75">
      <c r="A61" s="11">
        <v>1613</v>
      </c>
      <c r="B61" t="s">
        <v>218</v>
      </c>
      <c r="C61" t="s">
        <v>261</v>
      </c>
      <c r="D61">
        <f>31+30+31+31+30+31+30+13</f>
        <v>227</v>
      </c>
      <c r="E61" s="9">
        <v>153930</v>
      </c>
      <c r="F61" s="5">
        <f t="shared" si="5"/>
        <v>34926.717</v>
      </c>
      <c r="G61" s="5">
        <f t="shared" si="6"/>
        <v>153.86218942731276</v>
      </c>
      <c r="H61" s="4">
        <f t="shared" si="7"/>
        <v>56159.699140969155</v>
      </c>
    </row>
    <row r="62" spans="1:8" ht="12.75">
      <c r="A62" s="11">
        <v>1614</v>
      </c>
      <c r="B62" t="s">
        <v>218</v>
      </c>
      <c r="C62" t="s">
        <v>400</v>
      </c>
      <c r="D62">
        <v>365</v>
      </c>
      <c r="E62" s="9">
        <v>197043</v>
      </c>
      <c r="F62" s="5">
        <f t="shared" si="5"/>
        <v>44709.0567</v>
      </c>
      <c r="G62" s="5">
        <f t="shared" si="6"/>
        <v>122.49056630136987</v>
      </c>
      <c r="H62" s="4">
        <f t="shared" si="7"/>
        <v>44709.0567</v>
      </c>
    </row>
    <row r="63" spans="1:8" ht="12.75">
      <c r="A63" s="11">
        <v>1615</v>
      </c>
      <c r="B63" t="s">
        <v>218</v>
      </c>
      <c r="C63" t="s">
        <v>400</v>
      </c>
      <c r="D63">
        <v>365</v>
      </c>
      <c r="E63" s="9">
        <v>237796</v>
      </c>
      <c r="F63" s="5">
        <f t="shared" si="5"/>
        <v>53955.9124</v>
      </c>
      <c r="G63" s="5">
        <f t="shared" si="6"/>
        <v>147.82441753424658</v>
      </c>
      <c r="H63" s="4">
        <f t="shared" si="7"/>
        <v>53955.9124</v>
      </c>
    </row>
    <row r="64" spans="1:8" ht="12.75">
      <c r="A64" s="11">
        <v>1616</v>
      </c>
      <c r="B64" t="s">
        <v>218</v>
      </c>
      <c r="C64" t="s">
        <v>400</v>
      </c>
      <c r="D64">
        <v>365</v>
      </c>
      <c r="E64" s="9">
        <v>202973</v>
      </c>
      <c r="F64" s="5">
        <f t="shared" si="5"/>
        <v>46054.5737</v>
      </c>
      <c r="G64" s="5">
        <f t="shared" si="6"/>
        <v>126.17691424657535</v>
      </c>
      <c r="H64" s="4">
        <f t="shared" si="7"/>
        <v>46054.5737</v>
      </c>
    </row>
    <row r="65" spans="1:8" ht="12.75">
      <c r="A65" s="11">
        <v>1617</v>
      </c>
      <c r="B65" t="s">
        <v>218</v>
      </c>
      <c r="C65" t="s">
        <v>400</v>
      </c>
      <c r="D65">
        <v>365</v>
      </c>
      <c r="E65" s="9">
        <v>198861</v>
      </c>
      <c r="F65" s="5">
        <f t="shared" si="5"/>
        <v>45121.5609</v>
      </c>
      <c r="G65" s="5">
        <f t="shared" si="6"/>
        <v>123.62071479452054</v>
      </c>
      <c r="H65" s="4">
        <f t="shared" si="7"/>
        <v>45121.5609</v>
      </c>
    </row>
    <row r="66" spans="1:8" ht="12.75">
      <c r="A66" s="11">
        <v>1618</v>
      </c>
      <c r="B66" t="s">
        <v>218</v>
      </c>
      <c r="C66" t="s">
        <v>400</v>
      </c>
      <c r="D66">
        <v>365</v>
      </c>
      <c r="E66" s="9">
        <v>225312</v>
      </c>
      <c r="F66" s="5">
        <f t="shared" si="5"/>
        <v>51123.292799999996</v>
      </c>
      <c r="G66" s="5">
        <f t="shared" si="6"/>
        <v>140.06381589041095</v>
      </c>
      <c r="H66" s="4">
        <f t="shared" si="7"/>
        <v>51123.292799999996</v>
      </c>
    </row>
    <row r="67" spans="1:8" ht="12.75">
      <c r="A67" s="11">
        <v>1619</v>
      </c>
      <c r="B67" t="s">
        <v>218</v>
      </c>
      <c r="C67" t="s">
        <v>400</v>
      </c>
      <c r="D67">
        <v>365</v>
      </c>
      <c r="E67" s="9">
        <v>254430</v>
      </c>
      <c r="F67" s="5">
        <f t="shared" si="5"/>
        <v>57730.166999999994</v>
      </c>
      <c r="G67" s="5">
        <f t="shared" si="6"/>
        <v>158.16484109589038</v>
      </c>
      <c r="H67" s="4">
        <f t="shared" si="7"/>
        <v>57730.16699999999</v>
      </c>
    </row>
    <row r="68" spans="1:8" ht="12.75">
      <c r="A68" s="11">
        <v>1620</v>
      </c>
      <c r="B68" t="s">
        <v>410</v>
      </c>
      <c r="C68" t="s">
        <v>230</v>
      </c>
      <c r="D68">
        <v>365</v>
      </c>
      <c r="E68" s="9">
        <v>180856</v>
      </c>
      <c r="F68" s="5">
        <f t="shared" si="5"/>
        <v>41036.2264</v>
      </c>
      <c r="G68" s="5">
        <f t="shared" si="6"/>
        <v>112.42801753424658</v>
      </c>
      <c r="H68" s="4">
        <f t="shared" si="7"/>
        <v>41036.2264</v>
      </c>
    </row>
    <row r="69" spans="1:8" ht="12.75">
      <c r="A69" s="11">
        <v>1621</v>
      </c>
      <c r="B69" t="s">
        <v>410</v>
      </c>
      <c r="C69" t="s">
        <v>230</v>
      </c>
      <c r="D69">
        <v>365</v>
      </c>
      <c r="E69" s="9">
        <v>234884</v>
      </c>
      <c r="F69" s="5">
        <f t="shared" si="5"/>
        <v>53295.179599999996</v>
      </c>
      <c r="G69" s="5">
        <f t="shared" si="6"/>
        <v>146.0141906849315</v>
      </c>
      <c r="H69" s="4">
        <f t="shared" si="7"/>
        <v>53295.179599999996</v>
      </c>
    </row>
    <row r="70" spans="1:8" ht="12.75">
      <c r="A70" s="11">
        <v>1622</v>
      </c>
      <c r="B70" t="s">
        <v>410</v>
      </c>
      <c r="C70" t="s">
        <v>230</v>
      </c>
      <c r="D70">
        <v>365</v>
      </c>
      <c r="E70" s="9">
        <v>268238</v>
      </c>
      <c r="F70" s="5">
        <f t="shared" si="5"/>
        <v>60863.2022</v>
      </c>
      <c r="G70" s="5">
        <f t="shared" si="6"/>
        <v>166.7484991780822</v>
      </c>
      <c r="H70" s="4">
        <f t="shared" si="7"/>
        <v>60863.2022</v>
      </c>
    </row>
    <row r="71" spans="1:8" ht="12.75">
      <c r="A71" s="11">
        <v>1623</v>
      </c>
      <c r="B71" t="s">
        <v>410</v>
      </c>
      <c r="C71" t="s">
        <v>230</v>
      </c>
      <c r="D71">
        <v>365</v>
      </c>
      <c r="E71" s="9">
        <v>256716</v>
      </c>
      <c r="F71" s="5">
        <f aca="true" t="shared" si="8" ref="F71:F102">E71*0.2269</f>
        <v>58248.8604</v>
      </c>
      <c r="G71" s="5">
        <f t="shared" si="6"/>
        <v>159.58591890410958</v>
      </c>
      <c r="H71" s="4">
        <f t="shared" si="7"/>
        <v>58248.8604</v>
      </c>
    </row>
    <row r="72" spans="1:8" ht="12.75">
      <c r="A72" s="11">
        <v>1624</v>
      </c>
      <c r="B72" t="s">
        <v>410</v>
      </c>
      <c r="C72" t="s">
        <v>230</v>
      </c>
      <c r="D72">
        <v>365</v>
      </c>
      <c r="E72" s="9">
        <v>232907</v>
      </c>
      <c r="F72" s="5">
        <f t="shared" si="8"/>
        <v>52846.5983</v>
      </c>
      <c r="G72" s="5">
        <f t="shared" si="6"/>
        <v>144.7852008219178</v>
      </c>
      <c r="H72" s="4">
        <f t="shared" si="7"/>
        <v>52846.5983</v>
      </c>
    </row>
    <row r="73" spans="1:8" ht="12.75">
      <c r="A73" s="11">
        <v>1625</v>
      </c>
      <c r="B73" t="s">
        <v>410</v>
      </c>
      <c r="C73" t="s">
        <v>230</v>
      </c>
      <c r="D73">
        <v>365</v>
      </c>
      <c r="E73" s="9">
        <v>232679</v>
      </c>
      <c r="F73" s="5">
        <f t="shared" si="8"/>
        <v>52794.865099999995</v>
      </c>
      <c r="G73" s="5">
        <f t="shared" si="6"/>
        <v>144.64346602739724</v>
      </c>
      <c r="H73" s="4">
        <f t="shared" si="7"/>
        <v>52794.865099999995</v>
      </c>
    </row>
    <row r="74" spans="1:8" ht="12.75">
      <c r="A74" s="11">
        <v>1626</v>
      </c>
      <c r="B74" t="s">
        <v>410</v>
      </c>
      <c r="C74" t="s">
        <v>230</v>
      </c>
      <c r="D74">
        <v>365</v>
      </c>
      <c r="E74" s="9">
        <v>195456</v>
      </c>
      <c r="F74" s="5">
        <f t="shared" si="8"/>
        <v>44348.9664</v>
      </c>
      <c r="G74" s="5">
        <f t="shared" si="6"/>
        <v>121.50401753424657</v>
      </c>
      <c r="H74" s="4">
        <f t="shared" si="7"/>
        <v>44348.9664</v>
      </c>
    </row>
    <row r="75" spans="1:8" ht="12.75">
      <c r="A75" s="11">
        <v>1627</v>
      </c>
      <c r="B75" t="s">
        <v>410</v>
      </c>
      <c r="C75" t="s">
        <v>230</v>
      </c>
      <c r="D75">
        <v>365</v>
      </c>
      <c r="E75" s="9">
        <v>194805</v>
      </c>
      <c r="F75" s="5">
        <f t="shared" si="8"/>
        <v>44201.254499999995</v>
      </c>
      <c r="G75" s="5">
        <f t="shared" si="6"/>
        <v>121.09932739726027</v>
      </c>
      <c r="H75" s="4">
        <f t="shared" si="7"/>
        <v>44201.254499999995</v>
      </c>
    </row>
    <row r="76" spans="1:8" ht="12.75">
      <c r="A76" s="11">
        <v>1628</v>
      </c>
      <c r="B76" t="s">
        <v>410</v>
      </c>
      <c r="C76" t="s">
        <v>230</v>
      </c>
      <c r="D76">
        <v>365</v>
      </c>
      <c r="E76" s="9">
        <v>237370</v>
      </c>
      <c r="F76" s="5">
        <f t="shared" si="8"/>
        <v>53859.253</v>
      </c>
      <c r="G76" s="5">
        <f t="shared" si="6"/>
        <v>147.55959726027396</v>
      </c>
      <c r="H76" s="4">
        <f t="shared" si="7"/>
        <v>53859.253</v>
      </c>
    </row>
    <row r="77" spans="1:8" ht="12.75">
      <c r="A77" s="11">
        <v>1629</v>
      </c>
      <c r="B77" t="s">
        <v>410</v>
      </c>
      <c r="C77" t="s">
        <v>230</v>
      </c>
      <c r="D77">
        <v>365</v>
      </c>
      <c r="E77" s="9">
        <v>202168</v>
      </c>
      <c r="F77" s="5">
        <f t="shared" si="8"/>
        <v>45871.9192</v>
      </c>
      <c r="G77" s="5">
        <f t="shared" si="6"/>
        <v>125.6764909589041</v>
      </c>
      <c r="H77" s="4">
        <f t="shared" si="7"/>
        <v>45871.9192</v>
      </c>
    </row>
    <row r="78" spans="1:8" ht="12.75">
      <c r="A78" s="11">
        <v>1630</v>
      </c>
      <c r="B78" t="s">
        <v>410</v>
      </c>
      <c r="C78" t="s">
        <v>230</v>
      </c>
      <c r="D78">
        <v>365</v>
      </c>
      <c r="E78" s="9">
        <v>224889</v>
      </c>
      <c r="F78" s="5">
        <f t="shared" si="8"/>
        <v>51027.314099999996</v>
      </c>
      <c r="G78" s="5">
        <f t="shared" si="6"/>
        <v>139.8008605479452</v>
      </c>
      <c r="H78" s="4">
        <f t="shared" si="7"/>
        <v>51027.3141</v>
      </c>
    </row>
    <row r="79" spans="1:8" ht="12.75">
      <c r="A79" s="11">
        <v>1631</v>
      </c>
      <c r="B79" t="s">
        <v>410</v>
      </c>
      <c r="C79" t="s">
        <v>230</v>
      </c>
      <c r="D79">
        <v>365</v>
      </c>
      <c r="E79" s="9">
        <v>245807</v>
      </c>
      <c r="F79" s="5">
        <f t="shared" si="8"/>
        <v>55773.6083</v>
      </c>
      <c r="G79" s="5">
        <f t="shared" si="6"/>
        <v>152.80440630136985</v>
      </c>
      <c r="H79" s="4">
        <f t="shared" si="7"/>
        <v>55773.60829999999</v>
      </c>
    </row>
    <row r="80" spans="1:8" ht="12.75">
      <c r="A80" s="11">
        <v>1632</v>
      </c>
      <c r="B80" t="s">
        <v>410</v>
      </c>
      <c r="C80" t="s">
        <v>230</v>
      </c>
      <c r="D80">
        <v>365</v>
      </c>
      <c r="E80" s="9">
        <v>210226</v>
      </c>
      <c r="F80" s="5">
        <f t="shared" si="8"/>
        <v>47700.2794</v>
      </c>
      <c r="G80" s="5">
        <f t="shared" si="6"/>
        <v>130.68569698630137</v>
      </c>
      <c r="H80" s="4">
        <f t="shared" si="7"/>
        <v>47700.2794</v>
      </c>
    </row>
    <row r="81" spans="1:8" ht="12.75">
      <c r="A81" s="11">
        <v>1633</v>
      </c>
      <c r="B81" t="s">
        <v>410</v>
      </c>
      <c r="C81" t="s">
        <v>230</v>
      </c>
      <c r="D81">
        <v>365</v>
      </c>
      <c r="E81" s="9">
        <v>219686</v>
      </c>
      <c r="F81" s="5">
        <f t="shared" si="8"/>
        <v>49846.7534</v>
      </c>
      <c r="G81" s="5">
        <f t="shared" si="6"/>
        <v>136.56644767123288</v>
      </c>
      <c r="H81" s="4">
        <f t="shared" si="7"/>
        <v>49846.7534</v>
      </c>
    </row>
    <row r="82" spans="1:8" ht="12.75">
      <c r="A82" s="11">
        <v>1634</v>
      </c>
      <c r="B82" t="s">
        <v>410</v>
      </c>
      <c r="C82" t="s">
        <v>230</v>
      </c>
      <c r="D82">
        <v>365</v>
      </c>
      <c r="E82" s="9">
        <v>208215</v>
      </c>
      <c r="F82" s="5">
        <f t="shared" si="8"/>
        <v>47243.983499999995</v>
      </c>
      <c r="G82" s="5">
        <f t="shared" si="6"/>
        <v>129.4355712328767</v>
      </c>
      <c r="H82" s="4">
        <f t="shared" si="7"/>
        <v>47243.983499999995</v>
      </c>
    </row>
    <row r="83" spans="1:8" ht="12.75">
      <c r="A83" s="11">
        <v>1635</v>
      </c>
      <c r="B83" t="s">
        <v>410</v>
      </c>
      <c r="C83" t="s">
        <v>230</v>
      </c>
      <c r="D83">
        <v>365</v>
      </c>
      <c r="E83" s="9">
        <v>172358</v>
      </c>
      <c r="F83" s="5">
        <f t="shared" si="8"/>
        <v>39108.0302</v>
      </c>
      <c r="G83" s="5">
        <f t="shared" si="6"/>
        <v>107.14528821917808</v>
      </c>
      <c r="H83" s="4">
        <f t="shared" si="7"/>
        <v>39108.0302</v>
      </c>
    </row>
    <row r="84" spans="1:8" ht="12.75">
      <c r="A84" s="11">
        <v>1636</v>
      </c>
      <c r="B84" t="s">
        <v>410</v>
      </c>
      <c r="C84" t="s">
        <v>230</v>
      </c>
      <c r="D84">
        <v>365</v>
      </c>
      <c r="E84" s="9">
        <v>150722</v>
      </c>
      <c r="F84" s="5">
        <f t="shared" si="8"/>
        <v>34198.8218</v>
      </c>
      <c r="G84" s="5">
        <f t="shared" si="6"/>
        <v>93.69540219178081</v>
      </c>
      <c r="H84" s="4">
        <f t="shared" si="7"/>
        <v>34198.8218</v>
      </c>
    </row>
    <row r="85" spans="1:8" ht="12.75">
      <c r="A85" s="11">
        <v>1637</v>
      </c>
      <c r="B85" t="s">
        <v>410</v>
      </c>
      <c r="C85" t="s">
        <v>230</v>
      </c>
      <c r="D85">
        <v>365</v>
      </c>
      <c r="E85" s="9">
        <v>137861</v>
      </c>
      <c r="F85" s="5">
        <f t="shared" si="8"/>
        <v>31280.6609</v>
      </c>
      <c r="G85" s="5">
        <f t="shared" si="6"/>
        <v>85.70044082191781</v>
      </c>
      <c r="H85" s="4">
        <f t="shared" si="7"/>
        <v>31280.6609</v>
      </c>
    </row>
    <row r="86" spans="1:8" ht="12.75">
      <c r="A86" s="11">
        <v>1638</v>
      </c>
      <c r="B86" t="s">
        <v>410</v>
      </c>
      <c r="C86" t="s">
        <v>221</v>
      </c>
      <c r="D86">
        <f>365-14</f>
        <v>351</v>
      </c>
      <c r="E86" s="9">
        <v>143565</v>
      </c>
      <c r="F86" s="5">
        <f t="shared" si="8"/>
        <v>32574.8985</v>
      </c>
      <c r="G86" s="5">
        <f aca="true" t="shared" si="9" ref="G86:G110">F86/D86</f>
        <v>92.80597863247863</v>
      </c>
      <c r="H86" s="4">
        <f aca="true" t="shared" si="10" ref="H86:H110">G86*365</f>
        <v>33874.1822008547</v>
      </c>
    </row>
    <row r="87" spans="1:8" ht="12.75">
      <c r="A87" s="11">
        <v>1639</v>
      </c>
      <c r="B87" t="s">
        <v>223</v>
      </c>
      <c r="C87" t="s">
        <v>220</v>
      </c>
      <c r="D87">
        <v>365</v>
      </c>
      <c r="E87" s="9">
        <v>125378</v>
      </c>
      <c r="F87" s="5">
        <f t="shared" si="8"/>
        <v>28448.2682</v>
      </c>
      <c r="G87" s="5">
        <f t="shared" si="9"/>
        <v>77.94046082191781</v>
      </c>
      <c r="H87" s="4">
        <f t="shared" si="10"/>
        <v>28448.268200000002</v>
      </c>
    </row>
    <row r="88" spans="1:8" ht="12.75">
      <c r="A88" s="11">
        <v>1640</v>
      </c>
      <c r="B88" t="s">
        <v>222</v>
      </c>
      <c r="C88" t="s">
        <v>230</v>
      </c>
      <c r="D88">
        <v>365</v>
      </c>
      <c r="E88" s="9">
        <v>120846</v>
      </c>
      <c r="F88" s="5">
        <f t="shared" si="8"/>
        <v>27419.9574</v>
      </c>
      <c r="G88" s="5">
        <f t="shared" si="9"/>
        <v>75.12317095890411</v>
      </c>
      <c r="H88" s="4">
        <f t="shared" si="10"/>
        <v>27419.9574</v>
      </c>
    </row>
    <row r="89" spans="1:8" ht="12.75">
      <c r="A89" s="11">
        <v>1641</v>
      </c>
      <c r="B89" t="s">
        <v>410</v>
      </c>
      <c r="C89" t="s">
        <v>401</v>
      </c>
      <c r="D89">
        <f>365-30-25</f>
        <v>310</v>
      </c>
      <c r="E89" s="9">
        <v>119820</v>
      </c>
      <c r="F89" s="5">
        <f t="shared" si="8"/>
        <v>27187.158</v>
      </c>
      <c r="G89" s="5">
        <f t="shared" si="9"/>
        <v>87.70050967741935</v>
      </c>
      <c r="H89" s="4">
        <f t="shared" si="10"/>
        <v>32010.68603225806</v>
      </c>
    </row>
    <row r="90" spans="1:8" ht="12.75">
      <c r="A90" s="11">
        <v>1642</v>
      </c>
      <c r="B90" t="s">
        <v>402</v>
      </c>
      <c r="C90" t="s">
        <v>230</v>
      </c>
      <c r="D90">
        <f>365+23+30</f>
        <v>418</v>
      </c>
      <c r="E90" s="9">
        <v>144236</v>
      </c>
      <c r="F90" s="5">
        <f t="shared" si="8"/>
        <v>32727.1484</v>
      </c>
      <c r="G90" s="5">
        <f t="shared" si="9"/>
        <v>78.29461339712918</v>
      </c>
      <c r="H90" s="4">
        <f t="shared" si="10"/>
        <v>28577.533889952152</v>
      </c>
    </row>
    <row r="91" spans="1:8" ht="12.75">
      <c r="A91" s="11">
        <v>1643</v>
      </c>
      <c r="B91" t="s">
        <v>410</v>
      </c>
      <c r="C91" t="s">
        <v>230</v>
      </c>
      <c r="D91">
        <v>365</v>
      </c>
      <c r="E91" s="9">
        <v>125325</v>
      </c>
      <c r="F91" s="5">
        <f t="shared" si="8"/>
        <v>28436.2425</v>
      </c>
      <c r="G91" s="5">
        <f t="shared" si="9"/>
        <v>77.90751369863014</v>
      </c>
      <c r="H91" s="4">
        <f t="shared" si="10"/>
        <v>28436.2425</v>
      </c>
    </row>
    <row r="92" spans="1:8" ht="12.75">
      <c r="A92" s="11">
        <v>1644</v>
      </c>
      <c r="B92" t="s">
        <v>410</v>
      </c>
      <c r="C92" t="s">
        <v>230</v>
      </c>
      <c r="D92">
        <v>365</v>
      </c>
      <c r="E92" s="9">
        <v>113552</v>
      </c>
      <c r="F92" s="5">
        <f t="shared" si="8"/>
        <v>25764.9488</v>
      </c>
      <c r="G92" s="5">
        <f t="shared" si="9"/>
        <v>70.5889008219178</v>
      </c>
      <c r="H92" s="4">
        <f t="shared" si="10"/>
        <v>25764.9488</v>
      </c>
    </row>
    <row r="93" spans="1:8" ht="12.75">
      <c r="A93" s="11">
        <v>1645</v>
      </c>
      <c r="B93" t="s">
        <v>410</v>
      </c>
      <c r="C93" t="s">
        <v>230</v>
      </c>
      <c r="D93">
        <v>365</v>
      </c>
      <c r="E93" s="9">
        <v>113336</v>
      </c>
      <c r="F93" s="5">
        <f t="shared" si="8"/>
        <v>25715.9384</v>
      </c>
      <c r="G93" s="5">
        <f t="shared" si="9"/>
        <v>70.45462575342465</v>
      </c>
      <c r="H93" s="4">
        <f t="shared" si="10"/>
        <v>25715.9384</v>
      </c>
    </row>
    <row r="94" spans="1:8" ht="12.75">
      <c r="A94" s="11">
        <v>1646</v>
      </c>
      <c r="B94" t="s">
        <v>230</v>
      </c>
      <c r="C94" t="s">
        <v>359</v>
      </c>
      <c r="D94">
        <f>365-(30+31+28+27)</f>
        <v>249</v>
      </c>
      <c r="E94" s="9">
        <v>113752</v>
      </c>
      <c r="F94" s="5">
        <f t="shared" si="8"/>
        <v>25810.3288</v>
      </c>
      <c r="G94" s="5">
        <f t="shared" si="9"/>
        <v>103.65593895582329</v>
      </c>
      <c r="H94" s="4">
        <f t="shared" si="10"/>
        <v>37834.4177188755</v>
      </c>
    </row>
    <row r="95" spans="1:8" ht="12.75">
      <c r="A95" s="11">
        <v>1647</v>
      </c>
      <c r="B95" t="s">
        <v>358</v>
      </c>
      <c r="C95" t="s">
        <v>196</v>
      </c>
      <c r="D95">
        <f>365+27+28+31+30</f>
        <v>481</v>
      </c>
      <c r="E95" s="9">
        <v>155434</v>
      </c>
      <c r="F95" s="5">
        <f t="shared" si="8"/>
        <v>35267.9746</v>
      </c>
      <c r="G95" s="5">
        <f t="shared" si="9"/>
        <v>73.32219251559252</v>
      </c>
      <c r="H95" s="4">
        <f t="shared" si="10"/>
        <v>26762.60026819127</v>
      </c>
    </row>
    <row r="96" spans="1:8" ht="12.75">
      <c r="A96" s="11">
        <v>1648</v>
      </c>
      <c r="B96" t="s">
        <v>419</v>
      </c>
      <c r="C96" t="s">
        <v>357</v>
      </c>
      <c r="D96">
        <f>365-(28+28+31+30+1)</f>
        <v>247</v>
      </c>
      <c r="E96" s="9">
        <v>77900</v>
      </c>
      <c r="F96" s="5">
        <f t="shared" si="8"/>
        <v>17675.51</v>
      </c>
      <c r="G96" s="5">
        <f t="shared" si="9"/>
        <v>71.56076923076922</v>
      </c>
      <c r="H96" s="4">
        <f t="shared" si="10"/>
        <v>26119.680769230767</v>
      </c>
    </row>
    <row r="97" spans="1:8" ht="12.75">
      <c r="A97" s="11">
        <v>1649</v>
      </c>
      <c r="B97" t="s">
        <v>358</v>
      </c>
      <c r="C97" t="s">
        <v>372</v>
      </c>
      <c r="D97">
        <f>365+27+28+31+30+31+13</f>
        <v>525</v>
      </c>
      <c r="E97" s="9">
        <v>189462</v>
      </c>
      <c r="F97" s="5">
        <f t="shared" si="8"/>
        <v>42988.9278</v>
      </c>
      <c r="G97" s="5">
        <f t="shared" si="9"/>
        <v>81.88367199999999</v>
      </c>
      <c r="H97" s="4">
        <f t="shared" si="10"/>
        <v>29887.540279999997</v>
      </c>
    </row>
    <row r="98" spans="1:8" ht="12.75">
      <c r="A98" s="11">
        <v>1650</v>
      </c>
      <c r="B98" t="s">
        <v>373</v>
      </c>
      <c r="C98" t="s">
        <v>292</v>
      </c>
      <c r="D98">
        <f>365-(27+31+30+31+13)</f>
        <v>233</v>
      </c>
      <c r="E98" s="9">
        <v>85736</v>
      </c>
      <c r="F98" s="5">
        <f t="shared" si="8"/>
        <v>19453.4984</v>
      </c>
      <c r="G98" s="5">
        <f t="shared" si="9"/>
        <v>83.49140944206009</v>
      </c>
      <c r="H98" s="4">
        <f t="shared" si="10"/>
        <v>30474.364446351934</v>
      </c>
    </row>
    <row r="99" spans="1:8" ht="12.75">
      <c r="A99" s="11">
        <v>1651</v>
      </c>
      <c r="B99" t="s">
        <v>290</v>
      </c>
      <c r="C99" t="s">
        <v>231</v>
      </c>
      <c r="D99">
        <f>365+27+31+30</f>
        <v>453</v>
      </c>
      <c r="E99" s="9">
        <v>163166</v>
      </c>
      <c r="F99" s="5">
        <f t="shared" si="8"/>
        <v>37022.365399999995</v>
      </c>
      <c r="G99" s="5">
        <f t="shared" si="9"/>
        <v>81.72707593818984</v>
      </c>
      <c r="H99" s="4">
        <f t="shared" si="10"/>
        <v>29830.382717439294</v>
      </c>
    </row>
    <row r="100" spans="1:8" ht="12.75">
      <c r="A100" s="11">
        <v>1652</v>
      </c>
      <c r="B100" t="s">
        <v>410</v>
      </c>
      <c r="C100" t="s">
        <v>228</v>
      </c>
      <c r="D100">
        <v>365</v>
      </c>
      <c r="E100" s="9">
        <v>127353</v>
      </c>
      <c r="F100" s="5">
        <f t="shared" si="8"/>
        <v>28896.395699999997</v>
      </c>
      <c r="G100" s="5">
        <f t="shared" si="9"/>
        <v>79.16820739726026</v>
      </c>
      <c r="H100" s="4">
        <f t="shared" si="10"/>
        <v>28896.395699999994</v>
      </c>
    </row>
    <row r="101" spans="1:8" ht="12.75">
      <c r="A101" s="11">
        <v>1653</v>
      </c>
      <c r="B101" t="s">
        <v>410</v>
      </c>
      <c r="C101" t="s">
        <v>230</v>
      </c>
      <c r="D101">
        <v>365</v>
      </c>
      <c r="E101" s="9">
        <v>163184</v>
      </c>
      <c r="F101" s="5">
        <f t="shared" si="8"/>
        <v>37026.4496</v>
      </c>
      <c r="G101" s="5">
        <f t="shared" si="9"/>
        <v>101.44232767123287</v>
      </c>
      <c r="H101" s="4">
        <f t="shared" si="10"/>
        <v>37026.4496</v>
      </c>
    </row>
    <row r="102" spans="1:8" ht="12.75">
      <c r="A102" s="11">
        <v>1654</v>
      </c>
      <c r="B102" t="s">
        <v>410</v>
      </c>
      <c r="C102" t="s">
        <v>375</v>
      </c>
      <c r="D102">
        <f>365+31+30</f>
        <v>426</v>
      </c>
      <c r="E102" s="9">
        <v>153593</v>
      </c>
      <c r="F102" s="5">
        <f t="shared" si="8"/>
        <v>34850.2517</v>
      </c>
      <c r="G102" s="5">
        <f t="shared" si="9"/>
        <v>81.80810258215962</v>
      </c>
      <c r="H102" s="4">
        <f t="shared" si="10"/>
        <v>29859.957442488263</v>
      </c>
    </row>
    <row r="103" spans="1:8" ht="12.75">
      <c r="A103" s="11">
        <v>1655</v>
      </c>
      <c r="B103" t="s">
        <v>366</v>
      </c>
      <c r="C103" t="s">
        <v>374</v>
      </c>
      <c r="D103">
        <v>365</v>
      </c>
      <c r="E103" s="9">
        <v>130534</v>
      </c>
      <c r="F103" s="5">
        <f aca="true" t="shared" si="11" ref="F103:F134">E103*0.2269</f>
        <v>29618.1646</v>
      </c>
      <c r="G103" s="5">
        <f t="shared" si="9"/>
        <v>81.14565643835617</v>
      </c>
      <c r="H103" s="4">
        <f t="shared" si="10"/>
        <v>29618.164600000004</v>
      </c>
    </row>
    <row r="104" spans="1:8" ht="12.75">
      <c r="A104" s="11">
        <v>1656</v>
      </c>
      <c r="B104" t="s">
        <v>370</v>
      </c>
      <c r="C104" t="s">
        <v>424</v>
      </c>
      <c r="D104">
        <f>365-(26+30+8)</f>
        <v>301</v>
      </c>
      <c r="E104" s="9">
        <v>88179</v>
      </c>
      <c r="F104" s="5">
        <f t="shared" si="11"/>
        <v>20007.8151</v>
      </c>
      <c r="G104" s="5">
        <f t="shared" si="9"/>
        <v>66.47114651162791</v>
      </c>
      <c r="H104" s="4">
        <f t="shared" si="10"/>
        <v>24261.968476744187</v>
      </c>
    </row>
    <row r="105" spans="1:8" ht="12.75">
      <c r="A105" s="11">
        <v>1657</v>
      </c>
      <c r="B105" t="s">
        <v>423</v>
      </c>
      <c r="C105" t="s">
        <v>230</v>
      </c>
      <c r="D105">
        <f>365-5</f>
        <v>360</v>
      </c>
      <c r="E105" s="9">
        <v>122624</v>
      </c>
      <c r="F105" s="5">
        <f t="shared" si="11"/>
        <v>27823.385599999998</v>
      </c>
      <c r="G105" s="5">
        <f t="shared" si="9"/>
        <v>77.28718222222221</v>
      </c>
      <c r="H105" s="4">
        <f t="shared" si="10"/>
        <v>28209.82151111111</v>
      </c>
    </row>
    <row r="106" spans="1:8" ht="12.75">
      <c r="A106" s="11">
        <v>1658</v>
      </c>
      <c r="B106" t="s">
        <v>410</v>
      </c>
      <c r="C106" t="s">
        <v>230</v>
      </c>
      <c r="D106">
        <v>365</v>
      </c>
      <c r="E106" s="9">
        <v>117334</v>
      </c>
      <c r="F106" s="5">
        <f t="shared" si="11"/>
        <v>26623.0846</v>
      </c>
      <c r="G106" s="5">
        <f t="shared" si="9"/>
        <v>72.93995780821918</v>
      </c>
      <c r="H106" s="4">
        <f t="shared" si="10"/>
        <v>26623.0846</v>
      </c>
    </row>
    <row r="107" spans="1:8" ht="12.75">
      <c r="A107" s="11">
        <v>1659</v>
      </c>
      <c r="B107" t="s">
        <v>419</v>
      </c>
      <c r="C107" t="s">
        <v>230</v>
      </c>
      <c r="D107">
        <v>365</v>
      </c>
      <c r="E107" s="9">
        <v>119049</v>
      </c>
      <c r="F107" s="5">
        <f t="shared" si="11"/>
        <v>27012.2181</v>
      </c>
      <c r="G107" s="5">
        <f t="shared" si="9"/>
        <v>74.00607698630137</v>
      </c>
      <c r="H107" s="4">
        <f t="shared" si="10"/>
        <v>27012.2181</v>
      </c>
    </row>
    <row r="108" spans="1:8" ht="12.75">
      <c r="A108" s="11">
        <v>1660</v>
      </c>
      <c r="B108" t="s">
        <v>410</v>
      </c>
      <c r="C108" t="s">
        <v>230</v>
      </c>
      <c r="D108">
        <v>365</v>
      </c>
      <c r="E108" s="9">
        <v>113530</v>
      </c>
      <c r="F108" s="5">
        <f t="shared" si="11"/>
        <v>25759.957</v>
      </c>
      <c r="G108" s="5">
        <f t="shared" si="9"/>
        <v>70.57522465753424</v>
      </c>
      <c r="H108" s="4">
        <f t="shared" si="10"/>
        <v>25759.956999999995</v>
      </c>
    </row>
    <row r="109" spans="1:8" ht="12.75">
      <c r="A109" s="11">
        <v>1661</v>
      </c>
      <c r="B109" t="s">
        <v>410</v>
      </c>
      <c r="C109" t="s">
        <v>230</v>
      </c>
      <c r="D109">
        <v>365</v>
      </c>
      <c r="E109" s="9">
        <v>104459</v>
      </c>
      <c r="F109" s="5">
        <f t="shared" si="11"/>
        <v>23701.7471</v>
      </c>
      <c r="G109" s="5">
        <f t="shared" si="9"/>
        <v>64.93629342465753</v>
      </c>
      <c r="H109" s="4">
        <f t="shared" si="10"/>
        <v>23701.7471</v>
      </c>
    </row>
    <row r="110" spans="1:8" ht="12.75">
      <c r="A110" s="11">
        <v>1662</v>
      </c>
      <c r="B110" t="s">
        <v>410</v>
      </c>
      <c r="C110" t="s">
        <v>230</v>
      </c>
      <c r="D110">
        <v>365</v>
      </c>
      <c r="E110" s="9">
        <v>96814</v>
      </c>
      <c r="F110" s="5">
        <f t="shared" si="11"/>
        <v>21967.0966</v>
      </c>
      <c r="G110" s="5">
        <f t="shared" si="9"/>
        <v>60.18382630136986</v>
      </c>
      <c r="H110" s="4">
        <f t="shared" si="10"/>
        <v>21967.0966</v>
      </c>
    </row>
    <row r="111" spans="1:8" ht="12.75">
      <c r="A111" s="11">
        <v>1663</v>
      </c>
      <c r="B111" t="s">
        <v>447</v>
      </c>
      <c r="C111" t="s">
        <v>447</v>
      </c>
      <c r="F111" s="5">
        <f t="shared" si="11"/>
        <v>0</v>
      </c>
      <c r="H111" s="4">
        <f>(H110+H112)/2</f>
        <v>21657.735989967106</v>
      </c>
    </row>
    <row r="112" spans="1:8" ht="12.75">
      <c r="A112" s="11">
        <v>1664</v>
      </c>
      <c r="B112" t="s">
        <v>410</v>
      </c>
      <c r="C112" t="s">
        <v>299</v>
      </c>
      <c r="D112">
        <f>365-(31+30)</f>
        <v>304</v>
      </c>
      <c r="E112" s="9">
        <v>78363</v>
      </c>
      <c r="F112" s="5">
        <f t="shared" si="11"/>
        <v>17780.5647</v>
      </c>
      <c r="G112" s="5">
        <f aca="true" t="shared" si="12" ref="G112:G129">F112/D112</f>
        <v>58.48869967105263</v>
      </c>
      <c r="H112" s="4">
        <f aca="true" t="shared" si="13" ref="H112:H129">G112*365</f>
        <v>21348.37537993421</v>
      </c>
    </row>
    <row r="113" spans="1:8" ht="12.75">
      <c r="A113" s="11">
        <v>1665</v>
      </c>
      <c r="B113" t="s">
        <v>298</v>
      </c>
      <c r="C113" t="s">
        <v>238</v>
      </c>
      <c r="D113">
        <f>365+31+30+31+30+31+19</f>
        <v>537</v>
      </c>
      <c r="E113" s="9">
        <v>157226</v>
      </c>
      <c r="F113" s="5">
        <f t="shared" si="11"/>
        <v>35674.579399999995</v>
      </c>
      <c r="G113" s="5">
        <f t="shared" si="12"/>
        <v>66.43310875232774</v>
      </c>
      <c r="H113" s="4">
        <f t="shared" si="13"/>
        <v>24248.084694599624</v>
      </c>
    </row>
    <row r="114" spans="1:8" ht="12.75">
      <c r="A114" s="11">
        <v>1666</v>
      </c>
      <c r="B114" t="s">
        <v>237</v>
      </c>
      <c r="C114" t="s">
        <v>376</v>
      </c>
      <c r="D114">
        <f>365-(19+31)</f>
        <v>315</v>
      </c>
      <c r="E114" s="9">
        <v>105893</v>
      </c>
      <c r="F114" s="5">
        <f t="shared" si="11"/>
        <v>24027.1217</v>
      </c>
      <c r="G114" s="5">
        <f t="shared" si="12"/>
        <v>76.27657682539683</v>
      </c>
      <c r="H114" s="4">
        <f t="shared" si="13"/>
        <v>27840.95054126984</v>
      </c>
    </row>
    <row r="115" spans="1:8" ht="12.75">
      <c r="A115" s="11">
        <v>1667</v>
      </c>
      <c r="B115" t="s">
        <v>366</v>
      </c>
      <c r="C115" t="s">
        <v>232</v>
      </c>
      <c r="D115">
        <f>365-(31+30)</f>
        <v>304</v>
      </c>
      <c r="E115" s="9">
        <v>116298</v>
      </c>
      <c r="F115" s="5">
        <f t="shared" si="11"/>
        <v>26388.0162</v>
      </c>
      <c r="G115" s="5">
        <f t="shared" si="12"/>
        <v>86.80268486842105</v>
      </c>
      <c r="H115" s="4">
        <f t="shared" si="13"/>
        <v>31682.979976973686</v>
      </c>
    </row>
    <row r="116" spans="1:8" ht="12.75">
      <c r="A116" s="11">
        <v>1668</v>
      </c>
      <c r="B116" t="s">
        <v>410</v>
      </c>
      <c r="C116" t="s">
        <v>417</v>
      </c>
      <c r="D116">
        <f>365+18</f>
        <v>383</v>
      </c>
      <c r="E116" s="9">
        <v>169818</v>
      </c>
      <c r="F116" s="5">
        <f t="shared" si="11"/>
        <v>38531.7042</v>
      </c>
      <c r="G116" s="5">
        <f t="shared" si="12"/>
        <v>100.60497180156658</v>
      </c>
      <c r="H116" s="4">
        <f t="shared" si="13"/>
        <v>36720.8147075718</v>
      </c>
    </row>
    <row r="117" spans="1:8" ht="12.75">
      <c r="A117" s="11">
        <v>1669</v>
      </c>
      <c r="B117" t="s">
        <v>422</v>
      </c>
      <c r="C117" t="s">
        <v>377</v>
      </c>
      <c r="D117">
        <f>365+9+30</f>
        <v>404</v>
      </c>
      <c r="E117" s="9">
        <v>177639</v>
      </c>
      <c r="F117" s="5">
        <f t="shared" si="11"/>
        <v>40306.2891</v>
      </c>
      <c r="G117" s="5">
        <f t="shared" si="12"/>
        <v>99.76804232673268</v>
      </c>
      <c r="H117" s="4">
        <f t="shared" si="13"/>
        <v>36415.33544925743</v>
      </c>
    </row>
    <row r="118" spans="1:8" ht="12.75">
      <c r="A118" s="11">
        <v>1670</v>
      </c>
      <c r="B118" t="s">
        <v>366</v>
      </c>
      <c r="C118" t="s">
        <v>368</v>
      </c>
      <c r="D118">
        <f>365+16</f>
        <v>381</v>
      </c>
      <c r="E118" s="9">
        <v>206601</v>
      </c>
      <c r="F118" s="5">
        <f t="shared" si="11"/>
        <v>46877.766899999995</v>
      </c>
      <c r="G118" s="5">
        <f t="shared" si="12"/>
        <v>123.03875826771652</v>
      </c>
      <c r="H118" s="4">
        <f t="shared" si="13"/>
        <v>44909.14676771653</v>
      </c>
    </row>
    <row r="119" spans="1:8" ht="12.75">
      <c r="A119" s="11">
        <v>1671</v>
      </c>
      <c r="B119" t="s">
        <v>367</v>
      </c>
      <c r="C119" t="s">
        <v>460</v>
      </c>
      <c r="D119">
        <f>14+31+30+24</f>
        <v>99</v>
      </c>
      <c r="E119" s="9">
        <v>62344</v>
      </c>
      <c r="F119" s="5">
        <f t="shared" si="11"/>
        <v>14145.853599999999</v>
      </c>
      <c r="G119" s="5">
        <f t="shared" si="12"/>
        <v>142.8874101010101</v>
      </c>
      <c r="H119" s="4">
        <f t="shared" si="13"/>
        <v>52153.904686868686</v>
      </c>
    </row>
    <row r="120" spans="1:8" ht="12.75">
      <c r="A120" s="11">
        <v>1672</v>
      </c>
      <c r="B120" t="s">
        <v>460</v>
      </c>
      <c r="C120" t="s">
        <v>371</v>
      </c>
      <c r="D120">
        <f>365+7+30+31+31+28+31+30+31+30</f>
        <v>614</v>
      </c>
      <c r="E120" s="9">
        <v>377564</v>
      </c>
      <c r="F120" s="5">
        <f t="shared" si="11"/>
        <v>85669.2716</v>
      </c>
      <c r="G120" s="5">
        <f t="shared" si="12"/>
        <v>139.52650097719868</v>
      </c>
      <c r="H120" s="4">
        <f t="shared" si="13"/>
        <v>50927.17285667752</v>
      </c>
    </row>
    <row r="121" spans="1:8" ht="12.75">
      <c r="A121" s="11">
        <v>1673</v>
      </c>
      <c r="B121" t="s">
        <v>366</v>
      </c>
      <c r="C121" t="s">
        <v>381</v>
      </c>
      <c r="D121">
        <f>365-27</f>
        <v>338</v>
      </c>
      <c r="E121" s="9">
        <v>208005</v>
      </c>
      <c r="F121" s="5">
        <f t="shared" si="11"/>
        <v>47196.3345</v>
      </c>
      <c r="G121" s="5">
        <f t="shared" si="12"/>
        <v>139.63412573964496</v>
      </c>
      <c r="H121" s="4">
        <f t="shared" si="13"/>
        <v>50966.45589497041</v>
      </c>
    </row>
    <row r="122" spans="1:8" ht="12.75">
      <c r="A122" s="11">
        <v>1674</v>
      </c>
      <c r="B122" t="s">
        <v>380</v>
      </c>
      <c r="C122" t="s">
        <v>459</v>
      </c>
      <c r="D122">
        <f>365+26+31+31+30+22</f>
        <v>505</v>
      </c>
      <c r="E122" s="9">
        <v>310309</v>
      </c>
      <c r="F122" s="5">
        <f t="shared" si="11"/>
        <v>70409.1121</v>
      </c>
      <c r="G122" s="5">
        <f t="shared" si="12"/>
        <v>139.42398435643565</v>
      </c>
      <c r="H122" s="4">
        <f t="shared" si="13"/>
        <v>50889.754290099016</v>
      </c>
    </row>
    <row r="123" spans="1:8" ht="12.75">
      <c r="A123" s="11">
        <v>1675</v>
      </c>
      <c r="B123" t="s">
        <v>459</v>
      </c>
      <c r="C123" t="s">
        <v>456</v>
      </c>
      <c r="D123">
        <f>365+9+30</f>
        <v>404</v>
      </c>
      <c r="E123" s="9">
        <v>229683</v>
      </c>
      <c r="F123" s="5">
        <f t="shared" si="11"/>
        <v>52115.0727</v>
      </c>
      <c r="G123" s="5">
        <f t="shared" si="12"/>
        <v>128.99770470297028</v>
      </c>
      <c r="H123" s="4">
        <f t="shared" si="13"/>
        <v>47084.162216584155</v>
      </c>
    </row>
    <row r="124" spans="1:8" ht="12.75">
      <c r="A124" s="11">
        <v>1676</v>
      </c>
      <c r="B124" t="s">
        <v>459</v>
      </c>
      <c r="C124" t="s">
        <v>456</v>
      </c>
      <c r="D124">
        <f>365+9+30</f>
        <v>404</v>
      </c>
      <c r="E124" s="9">
        <v>229683</v>
      </c>
      <c r="F124" s="5">
        <f t="shared" si="11"/>
        <v>52115.0727</v>
      </c>
      <c r="G124" s="5">
        <f t="shared" si="12"/>
        <v>128.99770470297028</v>
      </c>
      <c r="H124" s="4">
        <f t="shared" si="13"/>
        <v>47084.162216584155</v>
      </c>
    </row>
    <row r="125" spans="1:8" ht="12.75">
      <c r="A125" s="11">
        <v>1677</v>
      </c>
      <c r="B125" t="s">
        <v>259</v>
      </c>
      <c r="C125" t="s">
        <v>414</v>
      </c>
      <c r="D125">
        <f>365+30+31+28+31+30+11</f>
        <v>526</v>
      </c>
      <c r="E125" s="9">
        <v>405537</v>
      </c>
      <c r="F125" s="5">
        <f t="shared" si="11"/>
        <v>92016.3453</v>
      </c>
      <c r="G125" s="5">
        <f t="shared" si="12"/>
        <v>174.93601768060836</v>
      </c>
      <c r="H125" s="4">
        <f t="shared" si="13"/>
        <v>63851.64645342205</v>
      </c>
    </row>
    <row r="126" spans="1:8" ht="12.75">
      <c r="A126" s="11">
        <v>1678</v>
      </c>
      <c r="B126" t="s">
        <v>415</v>
      </c>
      <c r="C126" t="s">
        <v>369</v>
      </c>
      <c r="D126">
        <f>365+19+30+31</f>
        <v>445</v>
      </c>
      <c r="E126" s="9">
        <v>325801</v>
      </c>
      <c r="F126" s="5">
        <f t="shared" si="11"/>
        <v>73924.2469</v>
      </c>
      <c r="G126" s="5">
        <f t="shared" si="12"/>
        <v>166.1219031460674</v>
      </c>
      <c r="H126" s="4">
        <f t="shared" si="13"/>
        <v>60634.494648314605</v>
      </c>
    </row>
    <row r="127" spans="1:8" ht="12.75">
      <c r="A127" s="11">
        <v>1679</v>
      </c>
      <c r="B127" t="s">
        <v>236</v>
      </c>
      <c r="C127" t="s">
        <v>378</v>
      </c>
      <c r="D127">
        <f>365-31</f>
        <v>334</v>
      </c>
      <c r="E127" s="9">
        <v>279403</v>
      </c>
      <c r="F127" s="5">
        <f t="shared" si="11"/>
        <v>63396.5407</v>
      </c>
      <c r="G127" s="5">
        <f t="shared" si="12"/>
        <v>189.8100020958084</v>
      </c>
      <c r="H127" s="4">
        <f t="shared" si="13"/>
        <v>69280.65076497007</v>
      </c>
    </row>
    <row r="128" spans="1:8" ht="12.75">
      <c r="A128" s="11">
        <v>1680</v>
      </c>
      <c r="B128" t="s">
        <v>366</v>
      </c>
      <c r="C128" t="s">
        <v>379</v>
      </c>
      <c r="D128">
        <v>365</v>
      </c>
      <c r="E128" s="9">
        <v>351910</v>
      </c>
      <c r="F128" s="5">
        <f t="shared" si="11"/>
        <v>79848.379</v>
      </c>
      <c r="G128" s="5">
        <f t="shared" si="12"/>
        <v>218.7626821917808</v>
      </c>
      <c r="H128" s="4">
        <f t="shared" si="13"/>
        <v>79848.379</v>
      </c>
    </row>
    <row r="129" spans="1:8" ht="12.75">
      <c r="A129" s="11">
        <v>1681</v>
      </c>
      <c r="B129" t="s">
        <v>366</v>
      </c>
      <c r="C129" t="s">
        <v>374</v>
      </c>
      <c r="D129">
        <v>365</v>
      </c>
      <c r="E129" s="9">
        <v>222992</v>
      </c>
      <c r="F129" s="5">
        <f t="shared" si="11"/>
        <v>50596.8848</v>
      </c>
      <c r="G129" s="5">
        <f t="shared" si="12"/>
        <v>138.62160219178082</v>
      </c>
      <c r="H129" s="4">
        <f t="shared" si="13"/>
        <v>50596.8848</v>
      </c>
    </row>
    <row r="130" spans="1:8" ht="12.75">
      <c r="A130" s="11">
        <v>1682</v>
      </c>
      <c r="B130" t="s">
        <v>447</v>
      </c>
      <c r="C130" t="s">
        <v>447</v>
      </c>
      <c r="F130" s="5">
        <f t="shared" si="11"/>
        <v>0</v>
      </c>
      <c r="G130" s="5">
        <v>0</v>
      </c>
      <c r="H130" s="4">
        <f>(H129+H132)/2</f>
        <v>40963.85634756554</v>
      </c>
    </row>
    <row r="131" spans="1:8" ht="12.75">
      <c r="A131" s="11">
        <v>1683</v>
      </c>
      <c r="B131" t="s">
        <v>447</v>
      </c>
      <c r="C131" t="s">
        <v>447</v>
      </c>
      <c r="F131" s="5">
        <f t="shared" si="11"/>
        <v>0</v>
      </c>
      <c r="G131" s="5">
        <v>0</v>
      </c>
      <c r="H131" s="4">
        <v>40963.85634756554</v>
      </c>
    </row>
    <row r="132" spans="1:8" ht="12.75">
      <c r="A132" s="11">
        <v>1684</v>
      </c>
      <c r="B132" t="s">
        <v>349</v>
      </c>
      <c r="C132" t="s">
        <v>510</v>
      </c>
      <c r="D132">
        <f>365-(6+31+30+31)</f>
        <v>267</v>
      </c>
      <c r="E132" s="9">
        <v>101008</v>
      </c>
      <c r="F132" s="5">
        <f t="shared" si="11"/>
        <v>22918.7152</v>
      </c>
      <c r="G132" s="5">
        <f aca="true" t="shared" si="14" ref="G132:G168">F132/D132</f>
        <v>85.83788464419476</v>
      </c>
      <c r="H132" s="4">
        <f aca="true" t="shared" si="15" ref="H132:H150">G132*365</f>
        <v>31330.827895131086</v>
      </c>
    </row>
    <row r="133" spans="1:8" ht="12.75">
      <c r="A133" s="11">
        <v>1685</v>
      </c>
      <c r="B133" t="s">
        <v>511</v>
      </c>
      <c r="C133" t="s">
        <v>265</v>
      </c>
      <c r="D133">
        <f>365+31+30+31</f>
        <v>457</v>
      </c>
      <c r="E133" s="9">
        <v>139398</v>
      </c>
      <c r="F133" s="5">
        <f t="shared" si="11"/>
        <v>31629.406199999998</v>
      </c>
      <c r="G133" s="5">
        <f t="shared" si="14"/>
        <v>69.2109544857768</v>
      </c>
      <c r="H133" s="4">
        <f t="shared" si="15"/>
        <v>25261.99838730853</v>
      </c>
    </row>
    <row r="134" spans="1:8" ht="12.75">
      <c r="A134" s="11">
        <v>1686</v>
      </c>
      <c r="B134" t="s">
        <v>349</v>
      </c>
      <c r="C134" t="s">
        <v>399</v>
      </c>
      <c r="D134">
        <f>365+31+28+29</f>
        <v>453</v>
      </c>
      <c r="E134" s="9">
        <v>167179</v>
      </c>
      <c r="F134" s="5">
        <f t="shared" si="11"/>
        <v>37932.9151</v>
      </c>
      <c r="G134" s="5">
        <f t="shared" si="14"/>
        <v>83.73711942604857</v>
      </c>
      <c r="H134" s="4">
        <f t="shared" si="15"/>
        <v>30564.048590507726</v>
      </c>
    </row>
    <row r="135" spans="1:8" ht="12.75">
      <c r="A135" s="11">
        <v>1687</v>
      </c>
      <c r="B135" t="s">
        <v>234</v>
      </c>
      <c r="C135" t="s">
        <v>394</v>
      </c>
      <c r="D135">
        <f>365-(19+5)</f>
        <v>341</v>
      </c>
      <c r="E135" s="9">
        <v>145394</v>
      </c>
      <c r="F135" s="5">
        <f aca="true" t="shared" si="16" ref="F135:F166">E135*0.2269</f>
        <v>32989.8986</v>
      </c>
      <c r="G135" s="5">
        <f t="shared" si="14"/>
        <v>96.74457067448681</v>
      </c>
      <c r="H135" s="4">
        <f t="shared" si="15"/>
        <v>35311.768296187685</v>
      </c>
    </row>
    <row r="136" spans="1:8" ht="12.75">
      <c r="A136" s="11">
        <v>1688</v>
      </c>
      <c r="B136" t="s">
        <v>395</v>
      </c>
      <c r="C136" t="s">
        <v>411</v>
      </c>
      <c r="D136">
        <f>365+15+30</f>
        <v>410</v>
      </c>
      <c r="E136" s="9">
        <v>143848</v>
      </c>
      <c r="F136" s="5">
        <f t="shared" si="16"/>
        <v>32639.1112</v>
      </c>
      <c r="G136" s="5">
        <f t="shared" si="14"/>
        <v>79.60758829268292</v>
      </c>
      <c r="H136" s="4">
        <f t="shared" si="15"/>
        <v>29056.769726829265</v>
      </c>
    </row>
    <row r="137" spans="1:8" ht="12.75">
      <c r="A137" s="11">
        <v>1689</v>
      </c>
      <c r="B137" t="s">
        <v>419</v>
      </c>
      <c r="C137" t="s">
        <v>224</v>
      </c>
      <c r="D137">
        <f>365-12</f>
        <v>353</v>
      </c>
      <c r="E137" s="9">
        <v>142638</v>
      </c>
      <c r="F137" s="5">
        <f t="shared" si="16"/>
        <v>32364.5622</v>
      </c>
      <c r="G137" s="5">
        <f t="shared" si="14"/>
        <v>91.68431218130311</v>
      </c>
      <c r="H137" s="4">
        <f t="shared" si="15"/>
        <v>33464.773946175636</v>
      </c>
    </row>
    <row r="138" spans="1:8" ht="12.75">
      <c r="A138" s="11">
        <v>1690</v>
      </c>
      <c r="B138" t="s">
        <v>215</v>
      </c>
      <c r="C138" t="s">
        <v>294</v>
      </c>
      <c r="D138">
        <f>(365*2)-(4+31+20)</f>
        <v>675</v>
      </c>
      <c r="E138" s="9">
        <v>223504</v>
      </c>
      <c r="F138" s="5">
        <f t="shared" si="16"/>
        <v>50713.0576</v>
      </c>
      <c r="G138" s="5">
        <f t="shared" si="14"/>
        <v>75.1304557037037</v>
      </c>
      <c r="H138" s="4">
        <f t="shared" si="15"/>
        <v>27422.616331851852</v>
      </c>
    </row>
    <row r="139" spans="1:8" ht="12.75">
      <c r="A139" s="11">
        <v>1691</v>
      </c>
      <c r="B139" t="s">
        <v>215</v>
      </c>
      <c r="C139" t="s">
        <v>294</v>
      </c>
      <c r="D139">
        <f>(365*2)-(4+31+20)</f>
        <v>675</v>
      </c>
      <c r="E139" s="9">
        <v>223504</v>
      </c>
      <c r="F139" s="5">
        <f t="shared" si="16"/>
        <v>50713.0576</v>
      </c>
      <c r="G139" s="5">
        <f t="shared" si="14"/>
        <v>75.1304557037037</v>
      </c>
      <c r="H139" s="4">
        <f t="shared" si="15"/>
        <v>27422.616331851852</v>
      </c>
    </row>
    <row r="140" spans="1:8" ht="12.75">
      <c r="A140" s="11">
        <v>1692</v>
      </c>
      <c r="B140" t="s">
        <v>295</v>
      </c>
      <c r="C140" t="s">
        <v>233</v>
      </c>
      <c r="D140">
        <f>365+3+31+30</f>
        <v>429</v>
      </c>
      <c r="E140" s="9">
        <v>183407</v>
      </c>
      <c r="F140" s="5">
        <f t="shared" si="16"/>
        <v>41615.048299999995</v>
      </c>
      <c r="G140" s="5">
        <f t="shared" si="14"/>
        <v>97.00477459207458</v>
      </c>
      <c r="H140" s="4">
        <f t="shared" si="15"/>
        <v>35406.74272610722</v>
      </c>
    </row>
    <row r="141" spans="1:8" ht="12.75">
      <c r="A141" s="11">
        <v>1693</v>
      </c>
      <c r="B141" t="s">
        <v>412</v>
      </c>
      <c r="C141" t="s">
        <v>216</v>
      </c>
      <c r="D141">
        <f>(3*365)-9</f>
        <v>1086</v>
      </c>
      <c r="E141" s="9">
        <v>421743</v>
      </c>
      <c r="F141" s="5">
        <f t="shared" si="16"/>
        <v>95693.4867</v>
      </c>
      <c r="G141" s="5">
        <f t="shared" si="14"/>
        <v>88.1155494475138</v>
      </c>
      <c r="H141" s="4">
        <f t="shared" si="15"/>
        <v>32162.175548342537</v>
      </c>
    </row>
    <row r="142" spans="1:8" ht="12.75">
      <c r="A142" s="11">
        <v>1694</v>
      </c>
      <c r="B142" t="s">
        <v>412</v>
      </c>
      <c r="C142" t="s">
        <v>216</v>
      </c>
      <c r="D142">
        <f>(3*365)-9</f>
        <v>1086</v>
      </c>
      <c r="E142" s="9">
        <v>421743</v>
      </c>
      <c r="F142" s="5">
        <f t="shared" si="16"/>
        <v>95693.4867</v>
      </c>
      <c r="G142" s="5">
        <f t="shared" si="14"/>
        <v>88.1155494475138</v>
      </c>
      <c r="H142" s="4">
        <f t="shared" si="15"/>
        <v>32162.175548342537</v>
      </c>
    </row>
    <row r="143" spans="1:8" ht="12.75">
      <c r="A143" s="11">
        <v>1695</v>
      </c>
      <c r="B143" t="s">
        <v>412</v>
      </c>
      <c r="C143" t="s">
        <v>216</v>
      </c>
      <c r="D143">
        <f>(3*365)-9</f>
        <v>1086</v>
      </c>
      <c r="E143" s="9">
        <v>421743</v>
      </c>
      <c r="F143" s="5">
        <f t="shared" si="16"/>
        <v>95693.4867</v>
      </c>
      <c r="G143" s="5">
        <f t="shared" si="14"/>
        <v>88.1155494475138</v>
      </c>
      <c r="H143" s="4">
        <f t="shared" si="15"/>
        <v>32162.175548342537</v>
      </c>
    </row>
    <row r="144" spans="1:8" ht="12.75">
      <c r="A144" s="11">
        <v>1696</v>
      </c>
      <c r="B144" t="s">
        <v>227</v>
      </c>
      <c r="C144" t="s">
        <v>454</v>
      </c>
      <c r="D144">
        <f>365+8+31+30+31+31+30+31+12</f>
        <v>569</v>
      </c>
      <c r="E144" s="9">
        <v>183584</v>
      </c>
      <c r="F144" s="5">
        <f t="shared" si="16"/>
        <v>41655.209599999995</v>
      </c>
      <c r="G144" s="5">
        <f t="shared" si="14"/>
        <v>73.2077497363796</v>
      </c>
      <c r="H144" s="4">
        <f t="shared" si="15"/>
        <v>26720.828653778553</v>
      </c>
    </row>
    <row r="145" spans="1:8" ht="12.75">
      <c r="A145" s="11">
        <v>1697</v>
      </c>
      <c r="B145" t="s">
        <v>455</v>
      </c>
      <c r="C145" t="s">
        <v>360</v>
      </c>
      <c r="D145">
        <f>365+15+31+4</f>
        <v>415</v>
      </c>
      <c r="E145" s="9">
        <v>103489</v>
      </c>
      <c r="F145" s="5">
        <f t="shared" si="16"/>
        <v>23481.6541</v>
      </c>
      <c r="G145" s="5">
        <f t="shared" si="14"/>
        <v>56.582299036144576</v>
      </c>
      <c r="H145" s="4">
        <f t="shared" si="15"/>
        <v>20652.53914819277</v>
      </c>
    </row>
    <row r="146" spans="1:8" ht="12.75">
      <c r="A146" s="11">
        <v>1698</v>
      </c>
      <c r="B146" t="s">
        <v>455</v>
      </c>
      <c r="C146" t="s">
        <v>360</v>
      </c>
      <c r="D146">
        <f>365+15+31+4</f>
        <v>415</v>
      </c>
      <c r="E146" s="9">
        <v>103489</v>
      </c>
      <c r="F146" s="5">
        <f t="shared" si="16"/>
        <v>23481.6541</v>
      </c>
      <c r="G146" s="5">
        <f t="shared" si="14"/>
        <v>56.582299036144576</v>
      </c>
      <c r="H146" s="4">
        <f t="shared" si="15"/>
        <v>20652.53914819277</v>
      </c>
    </row>
    <row r="147" spans="1:8" ht="12.75">
      <c r="A147" s="11">
        <v>1699</v>
      </c>
      <c r="B147" t="s">
        <v>361</v>
      </c>
      <c r="C147" t="s">
        <v>266</v>
      </c>
      <c r="D147">
        <f>365-5</f>
        <v>360</v>
      </c>
      <c r="E147" s="9">
        <v>138983</v>
      </c>
      <c r="F147" s="5">
        <f t="shared" si="16"/>
        <v>31535.2427</v>
      </c>
      <c r="G147" s="5">
        <f t="shared" si="14"/>
        <v>87.59789638888888</v>
      </c>
      <c r="H147" s="4">
        <f t="shared" si="15"/>
        <v>31973.232181944444</v>
      </c>
    </row>
    <row r="148" spans="1:8" ht="12.75">
      <c r="A148" s="11">
        <v>1700</v>
      </c>
      <c r="B148" t="s">
        <v>349</v>
      </c>
      <c r="C148" t="s">
        <v>262</v>
      </c>
      <c r="D148">
        <v>365</v>
      </c>
      <c r="E148" s="9">
        <v>142160</v>
      </c>
      <c r="F148" s="5">
        <f t="shared" si="16"/>
        <v>32256.104</v>
      </c>
      <c r="G148" s="5">
        <f t="shared" si="14"/>
        <v>88.37288767123287</v>
      </c>
      <c r="H148" s="4">
        <f t="shared" si="15"/>
        <v>32256.104</v>
      </c>
    </row>
    <row r="149" spans="1:8" ht="12.75">
      <c r="A149" s="11">
        <v>1701</v>
      </c>
      <c r="B149" t="s">
        <v>349</v>
      </c>
      <c r="C149" t="s">
        <v>262</v>
      </c>
      <c r="D149">
        <v>365</v>
      </c>
      <c r="E149" s="9">
        <v>119768</v>
      </c>
      <c r="F149" s="5">
        <f t="shared" si="16"/>
        <v>27175.3592</v>
      </c>
      <c r="G149" s="5">
        <f t="shared" si="14"/>
        <v>74.45303890410959</v>
      </c>
      <c r="H149" s="4">
        <f t="shared" si="15"/>
        <v>27175.3592</v>
      </c>
    </row>
    <row r="150" spans="1:8" ht="12.75">
      <c r="A150" s="11">
        <v>1702</v>
      </c>
      <c r="B150" t="s">
        <v>349</v>
      </c>
      <c r="C150" t="s">
        <v>262</v>
      </c>
      <c r="D150">
        <v>365</v>
      </c>
      <c r="E150" s="9">
        <v>130000</v>
      </c>
      <c r="F150" s="5">
        <f t="shared" si="16"/>
        <v>29497</v>
      </c>
      <c r="G150" s="5">
        <f t="shared" si="14"/>
        <v>80.81369863013698</v>
      </c>
      <c r="H150" s="4">
        <f t="shared" si="15"/>
        <v>29497</v>
      </c>
    </row>
    <row r="151" spans="1:8" ht="12.75">
      <c r="A151" s="11">
        <v>1703</v>
      </c>
      <c r="B151" t="s">
        <v>349</v>
      </c>
      <c r="C151" t="s">
        <v>262</v>
      </c>
      <c r="D151">
        <v>365</v>
      </c>
      <c r="F151" s="5">
        <f t="shared" si="16"/>
        <v>0</v>
      </c>
      <c r="G151" s="5">
        <f t="shared" si="14"/>
        <v>0</v>
      </c>
      <c r="H151" s="4">
        <f>(H150+H152)/2</f>
        <v>30234.425</v>
      </c>
    </row>
    <row r="152" spans="1:8" ht="12.75">
      <c r="A152" s="11">
        <v>1704</v>
      </c>
      <c r="B152" t="s">
        <v>349</v>
      </c>
      <c r="C152" t="s">
        <v>262</v>
      </c>
      <c r="D152">
        <v>365</v>
      </c>
      <c r="E152" s="9">
        <v>136500</v>
      </c>
      <c r="F152" s="5">
        <f t="shared" si="16"/>
        <v>30971.85</v>
      </c>
      <c r="G152" s="5">
        <f t="shared" si="14"/>
        <v>84.85438356164383</v>
      </c>
      <c r="H152" s="4">
        <f aca="true" t="shared" si="17" ref="H152:H162">G152*365</f>
        <v>30971.85</v>
      </c>
    </row>
    <row r="153" spans="1:8" ht="12.75">
      <c r="A153" s="11">
        <v>1705</v>
      </c>
      <c r="B153" t="s">
        <v>349</v>
      </c>
      <c r="C153" t="s">
        <v>262</v>
      </c>
      <c r="D153">
        <v>365</v>
      </c>
      <c r="E153" s="9">
        <v>179450</v>
      </c>
      <c r="F153" s="5">
        <f t="shared" si="16"/>
        <v>40717.205</v>
      </c>
      <c r="G153" s="5">
        <f t="shared" si="14"/>
        <v>111.55398630136986</v>
      </c>
      <c r="H153" s="4">
        <f t="shared" si="17"/>
        <v>40717.205</v>
      </c>
    </row>
    <row r="154" spans="1:8" ht="12.75">
      <c r="A154" s="11">
        <v>1706</v>
      </c>
      <c r="B154" t="s">
        <v>349</v>
      </c>
      <c r="C154" t="s">
        <v>262</v>
      </c>
      <c r="D154">
        <v>365</v>
      </c>
      <c r="E154" s="9">
        <v>139000</v>
      </c>
      <c r="F154" s="5">
        <f t="shared" si="16"/>
        <v>31539.1</v>
      </c>
      <c r="G154" s="5">
        <f t="shared" si="14"/>
        <v>86.40849315068493</v>
      </c>
      <c r="H154" s="4">
        <f t="shared" si="17"/>
        <v>31539.100000000002</v>
      </c>
    </row>
    <row r="155" spans="1:8" ht="12.75">
      <c r="A155" s="11">
        <v>1707</v>
      </c>
      <c r="B155" t="s">
        <v>349</v>
      </c>
      <c r="C155" t="s">
        <v>262</v>
      </c>
      <c r="D155">
        <v>365</v>
      </c>
      <c r="E155" s="9">
        <v>135000</v>
      </c>
      <c r="F155" s="5">
        <f t="shared" si="16"/>
        <v>30631.5</v>
      </c>
      <c r="G155" s="5">
        <f t="shared" si="14"/>
        <v>83.92191780821918</v>
      </c>
      <c r="H155" s="4">
        <f t="shared" si="17"/>
        <v>30631.5</v>
      </c>
    </row>
    <row r="156" spans="1:8" ht="12.75">
      <c r="A156" s="11">
        <v>1708</v>
      </c>
      <c r="B156" t="s">
        <v>349</v>
      </c>
      <c r="C156" t="s">
        <v>262</v>
      </c>
      <c r="D156">
        <v>365</v>
      </c>
      <c r="E156" s="9">
        <v>156000</v>
      </c>
      <c r="F156" s="5">
        <f t="shared" si="16"/>
        <v>35396.4</v>
      </c>
      <c r="G156" s="5">
        <f t="shared" si="14"/>
        <v>96.9764383561644</v>
      </c>
      <c r="H156" s="4">
        <f t="shared" si="17"/>
        <v>35396.4</v>
      </c>
    </row>
    <row r="157" spans="1:8" ht="12.75">
      <c r="A157" s="11">
        <v>1709</v>
      </c>
      <c r="B157" t="s">
        <v>349</v>
      </c>
      <c r="C157" t="s">
        <v>262</v>
      </c>
      <c r="D157">
        <v>365</v>
      </c>
      <c r="E157" s="9">
        <v>184000</v>
      </c>
      <c r="F157" s="5">
        <f t="shared" si="16"/>
        <v>41749.6</v>
      </c>
      <c r="G157" s="5">
        <f t="shared" si="14"/>
        <v>114.38246575342465</v>
      </c>
      <c r="H157" s="4">
        <f t="shared" si="17"/>
        <v>41749.6</v>
      </c>
    </row>
    <row r="158" spans="1:8" ht="12.75">
      <c r="A158" s="11">
        <v>1710</v>
      </c>
      <c r="B158" t="s">
        <v>349</v>
      </c>
      <c r="C158" t="s">
        <v>262</v>
      </c>
      <c r="D158">
        <v>365</v>
      </c>
      <c r="E158" s="9">
        <v>196000</v>
      </c>
      <c r="F158" s="5">
        <f t="shared" si="16"/>
        <v>44472.4</v>
      </c>
      <c r="G158" s="5">
        <f t="shared" si="14"/>
        <v>121.84219178082192</v>
      </c>
      <c r="H158" s="4">
        <f t="shared" si="17"/>
        <v>44472.4</v>
      </c>
    </row>
    <row r="159" spans="1:8" ht="12.75">
      <c r="A159" s="11">
        <v>1711</v>
      </c>
      <c r="B159" t="s">
        <v>349</v>
      </c>
      <c r="C159" t="s">
        <v>262</v>
      </c>
      <c r="D159">
        <v>365</v>
      </c>
      <c r="E159" s="9">
        <v>229000</v>
      </c>
      <c r="F159" s="5">
        <f t="shared" si="16"/>
        <v>51960.1</v>
      </c>
      <c r="G159" s="5">
        <f t="shared" si="14"/>
        <v>142.35643835616438</v>
      </c>
      <c r="H159" s="4">
        <f t="shared" si="17"/>
        <v>51960.1</v>
      </c>
    </row>
    <row r="160" spans="1:8" ht="12.75">
      <c r="A160" s="11">
        <v>1712</v>
      </c>
      <c r="B160" t="s">
        <v>349</v>
      </c>
      <c r="C160" t="s">
        <v>262</v>
      </c>
      <c r="D160">
        <v>365</v>
      </c>
      <c r="E160" s="9">
        <v>174000</v>
      </c>
      <c r="F160" s="5">
        <f t="shared" si="16"/>
        <v>39480.6</v>
      </c>
      <c r="G160" s="5">
        <f t="shared" si="14"/>
        <v>108.16602739726027</v>
      </c>
      <c r="H160" s="4">
        <f t="shared" si="17"/>
        <v>39480.6</v>
      </c>
    </row>
    <row r="161" spans="1:8" ht="12.75">
      <c r="A161" s="11">
        <v>1713</v>
      </c>
      <c r="B161" t="s">
        <v>349</v>
      </c>
      <c r="C161" t="s">
        <v>262</v>
      </c>
      <c r="D161">
        <v>365</v>
      </c>
      <c r="E161" s="9">
        <v>185000</v>
      </c>
      <c r="F161" s="5">
        <f t="shared" si="16"/>
        <v>41976.5</v>
      </c>
      <c r="G161" s="5">
        <f t="shared" si="14"/>
        <v>115.0041095890411</v>
      </c>
      <c r="H161" s="4">
        <f t="shared" si="17"/>
        <v>41976.5</v>
      </c>
    </row>
    <row r="162" spans="1:8" ht="12.75">
      <c r="A162" s="11">
        <v>1714</v>
      </c>
      <c r="B162" t="s">
        <v>349</v>
      </c>
      <c r="C162" t="s">
        <v>262</v>
      </c>
      <c r="D162">
        <v>365</v>
      </c>
      <c r="E162" s="9">
        <v>157000</v>
      </c>
      <c r="F162" s="5">
        <f t="shared" si="16"/>
        <v>35623.299999999996</v>
      </c>
      <c r="G162" s="5">
        <f t="shared" si="14"/>
        <v>97.5980821917808</v>
      </c>
      <c r="H162" s="4">
        <f t="shared" si="17"/>
        <v>35623.299999999996</v>
      </c>
    </row>
    <row r="163" spans="1:8" ht="12.75">
      <c r="A163" s="11">
        <v>1715</v>
      </c>
      <c r="B163" t="s">
        <v>349</v>
      </c>
      <c r="C163" t="s">
        <v>262</v>
      </c>
      <c r="D163">
        <v>365</v>
      </c>
      <c r="F163" s="5">
        <f t="shared" si="16"/>
        <v>0</v>
      </c>
      <c r="G163" s="5">
        <f t="shared" si="14"/>
        <v>0</v>
      </c>
      <c r="H163" s="4">
        <f>(H162+H164)/2</f>
        <v>45266.549999999996</v>
      </c>
    </row>
    <row r="164" spans="1:8" ht="12.75">
      <c r="A164" s="11">
        <v>1716</v>
      </c>
      <c r="B164" t="s">
        <v>349</v>
      </c>
      <c r="C164" t="s">
        <v>262</v>
      </c>
      <c r="D164">
        <v>365</v>
      </c>
      <c r="E164" s="9">
        <v>242000</v>
      </c>
      <c r="F164" s="5">
        <f t="shared" si="16"/>
        <v>54909.799999999996</v>
      </c>
      <c r="G164" s="5">
        <f t="shared" si="14"/>
        <v>150.43780821917807</v>
      </c>
      <c r="H164" s="4">
        <f>G164*365</f>
        <v>54909.799999999996</v>
      </c>
    </row>
    <row r="165" spans="1:8" ht="12.75">
      <c r="A165" s="11">
        <v>1717</v>
      </c>
      <c r="B165" t="s">
        <v>349</v>
      </c>
      <c r="C165" t="s">
        <v>262</v>
      </c>
      <c r="D165">
        <v>365</v>
      </c>
      <c r="E165" s="9">
        <v>236000</v>
      </c>
      <c r="F165" s="5">
        <f t="shared" si="16"/>
        <v>53548.399999999994</v>
      </c>
      <c r="G165" s="5">
        <f t="shared" si="14"/>
        <v>146.70794520547943</v>
      </c>
      <c r="H165" s="4">
        <f>G165*365</f>
        <v>53548.399999999994</v>
      </c>
    </row>
    <row r="166" spans="1:8" ht="12.75">
      <c r="A166" s="11">
        <v>1718</v>
      </c>
      <c r="B166" t="s">
        <v>349</v>
      </c>
      <c r="C166" t="s">
        <v>262</v>
      </c>
      <c r="D166">
        <v>365</v>
      </c>
      <c r="E166" s="9">
        <v>257000</v>
      </c>
      <c r="F166" s="5">
        <f t="shared" si="16"/>
        <v>58313.299999999996</v>
      </c>
      <c r="G166" s="5">
        <f t="shared" si="14"/>
        <v>159.76246575342464</v>
      </c>
      <c r="H166" s="4">
        <f>G166*365</f>
        <v>58313.29999999999</v>
      </c>
    </row>
    <row r="167" spans="1:8" ht="12.75">
      <c r="A167" s="11">
        <v>1719</v>
      </c>
      <c r="B167" t="s">
        <v>349</v>
      </c>
      <c r="C167" t="s">
        <v>262</v>
      </c>
      <c r="D167">
        <v>365</v>
      </c>
      <c r="E167" s="9">
        <v>274000</v>
      </c>
      <c r="F167" s="5">
        <f>E167*0.2269</f>
        <v>62170.6</v>
      </c>
      <c r="G167" s="5">
        <f t="shared" si="14"/>
        <v>170.3304109589041</v>
      </c>
      <c r="H167" s="4">
        <f>G167*365</f>
        <v>62170.6</v>
      </c>
    </row>
    <row r="168" spans="1:8" ht="12.75">
      <c r="A168" s="11">
        <v>1720</v>
      </c>
      <c r="B168" t="s">
        <v>349</v>
      </c>
      <c r="C168" t="s">
        <v>262</v>
      </c>
      <c r="D168">
        <v>365</v>
      </c>
      <c r="E168" s="9">
        <v>275000</v>
      </c>
      <c r="F168" s="5">
        <f>E168*0.2269</f>
        <v>62397.5</v>
      </c>
      <c r="G168" s="5">
        <f t="shared" si="14"/>
        <v>170.95205479452054</v>
      </c>
      <c r="H168" s="4">
        <f>G168*365</f>
        <v>62397.49999999999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0"/>
  </sheetPr>
  <dimension ref="A1:H26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28125" style="0" customWidth="1"/>
    <col min="2" max="2" width="7.7109375" style="0" customWidth="1"/>
    <col min="3" max="3" width="11.8515625" style="0" customWidth="1"/>
    <col min="4" max="4" width="5.7109375" style="0" customWidth="1"/>
    <col min="5" max="5" width="8.7109375" style="0" customWidth="1"/>
    <col min="6" max="6" width="10.28125" style="0" customWidth="1"/>
    <col min="7" max="7" width="9.00390625" style="0" customWidth="1"/>
    <col min="8" max="8" width="10.28125" style="0" customWidth="1"/>
  </cols>
  <sheetData>
    <row r="1" spans="1:8" ht="12.75">
      <c r="A1" s="11"/>
      <c r="B1" s="1" t="s">
        <v>579</v>
      </c>
      <c r="E1" s="9"/>
      <c r="F1" s="5"/>
      <c r="G1" s="5"/>
      <c r="H1" s="4"/>
    </row>
    <row r="2" spans="1:8" ht="12.75">
      <c r="A2" s="11"/>
      <c r="B2" s="10" t="s">
        <v>6</v>
      </c>
      <c r="E2" s="9"/>
      <c r="F2" s="5"/>
      <c r="G2" s="5"/>
      <c r="H2" s="4"/>
    </row>
    <row r="3" spans="1:8" ht="12.75">
      <c r="A3" s="11"/>
      <c r="E3" s="9"/>
      <c r="F3" s="5"/>
      <c r="G3" s="5"/>
      <c r="H3" s="4"/>
    </row>
    <row r="4" spans="1:8" ht="12.75">
      <c r="A4" s="11" t="s">
        <v>575</v>
      </c>
      <c r="B4" s="1" t="s">
        <v>448</v>
      </c>
      <c r="C4" s="1" t="s">
        <v>448</v>
      </c>
      <c r="D4" s="1" t="s">
        <v>453</v>
      </c>
      <c r="E4" s="10" t="s">
        <v>465</v>
      </c>
      <c r="F4" s="4" t="s">
        <v>466</v>
      </c>
      <c r="G4" s="4" t="s">
        <v>256</v>
      </c>
      <c r="H4" s="4" t="s">
        <v>210</v>
      </c>
    </row>
    <row r="5" spans="1:8" ht="12.75">
      <c r="A5" s="11"/>
      <c r="B5" s="1" t="s">
        <v>533</v>
      </c>
      <c r="C5" s="1" t="s">
        <v>277</v>
      </c>
      <c r="D5" s="1" t="s">
        <v>257</v>
      </c>
      <c r="E5" s="10" t="s">
        <v>404</v>
      </c>
      <c r="F5" s="4" t="s">
        <v>388</v>
      </c>
      <c r="G5" s="4" t="s">
        <v>241</v>
      </c>
      <c r="H5" s="4" t="s">
        <v>282</v>
      </c>
    </row>
    <row r="6" spans="1:8" ht="12.75">
      <c r="A6" s="11"/>
      <c r="E6" s="9"/>
      <c r="F6" s="5"/>
      <c r="G6" s="5"/>
      <c r="H6" s="4"/>
    </row>
    <row r="7" spans="1:8" ht="12.75">
      <c r="A7" s="11">
        <v>1559</v>
      </c>
      <c r="B7" t="s">
        <v>348</v>
      </c>
      <c r="C7" t="s">
        <v>258</v>
      </c>
      <c r="D7">
        <v>365</v>
      </c>
      <c r="E7" s="9">
        <v>84695</v>
      </c>
      <c r="F7" s="5">
        <f>E7*0.2269</f>
        <v>19217.2955</v>
      </c>
      <c r="G7" s="5">
        <f>F7/D7</f>
        <v>52.65012465753425</v>
      </c>
      <c r="H7" s="4">
        <f>G7*365</f>
        <v>19217.2955</v>
      </c>
    </row>
    <row r="8" spans="1:8" ht="12.75">
      <c r="A8" s="11">
        <v>1560</v>
      </c>
      <c r="B8" t="s">
        <v>348</v>
      </c>
      <c r="C8" t="s">
        <v>258</v>
      </c>
      <c r="D8">
        <v>365</v>
      </c>
      <c r="E8" s="9">
        <v>103006</v>
      </c>
      <c r="F8" s="5">
        <f>E8*0.2269</f>
        <v>23372.0614</v>
      </c>
      <c r="G8" s="5">
        <f>F8/D8</f>
        <v>64.03304493150685</v>
      </c>
      <c r="H8" s="4">
        <f>G8*365</f>
        <v>23372.0614</v>
      </c>
    </row>
    <row r="9" spans="1:8" ht="12.75">
      <c r="A9" s="11"/>
      <c r="E9" s="9"/>
      <c r="F9" s="5"/>
      <c r="G9" s="5"/>
      <c r="H9" s="4"/>
    </row>
    <row r="10" spans="1:8" ht="12.75">
      <c r="A10" s="11" t="s">
        <v>69</v>
      </c>
      <c r="E10" s="9"/>
      <c r="F10" s="5"/>
      <c r="G10" s="5"/>
      <c r="H10" s="4">
        <f>SUM(H7:H9)/2</f>
        <v>21294.67845</v>
      </c>
    </row>
    <row r="11" spans="1:8" ht="12.75">
      <c r="A11" s="11"/>
      <c r="E11" s="9"/>
      <c r="F11" s="5"/>
      <c r="G11" s="5"/>
      <c r="H11" s="4"/>
    </row>
    <row r="12" spans="1:8" ht="12.75">
      <c r="A12" s="11">
        <v>1561</v>
      </c>
      <c r="B12" t="s">
        <v>348</v>
      </c>
      <c r="C12" t="s">
        <v>258</v>
      </c>
      <c r="D12">
        <v>365</v>
      </c>
      <c r="E12" s="9">
        <v>107540</v>
      </c>
      <c r="F12" s="5">
        <f>E12*0.2269</f>
        <v>24400.825999999997</v>
      </c>
      <c r="G12" s="5">
        <f>F12/D12</f>
        <v>66.85157808219178</v>
      </c>
      <c r="H12" s="4">
        <f>G12*365</f>
        <v>24400.826</v>
      </c>
    </row>
    <row r="13" spans="1:8" ht="12.75">
      <c r="A13" s="11">
        <v>1562</v>
      </c>
      <c r="B13" t="s">
        <v>348</v>
      </c>
      <c r="C13" t="s">
        <v>258</v>
      </c>
      <c r="D13">
        <v>365</v>
      </c>
      <c r="E13" s="9">
        <v>118243</v>
      </c>
      <c r="F13" s="5">
        <f>E13*0.2269</f>
        <v>26829.3367</v>
      </c>
      <c r="G13" s="5">
        <f>F13/D13</f>
        <v>73.50503205479453</v>
      </c>
      <c r="H13" s="4">
        <f>G13*365</f>
        <v>26829.336700000003</v>
      </c>
    </row>
    <row r="14" spans="1:8" ht="12.75">
      <c r="A14" s="11">
        <v>1563</v>
      </c>
      <c r="B14" t="s">
        <v>348</v>
      </c>
      <c r="C14" t="s">
        <v>258</v>
      </c>
      <c r="D14">
        <v>365</v>
      </c>
      <c r="E14" s="9">
        <v>131874</v>
      </c>
      <c r="F14" s="5">
        <f>E14*0.2269</f>
        <v>29922.2106</v>
      </c>
      <c r="G14" s="5">
        <f>F14/D14</f>
        <v>81.97865917808218</v>
      </c>
      <c r="H14" s="4">
        <f>G14*365</f>
        <v>29922.210599999995</v>
      </c>
    </row>
    <row r="15" spans="1:8" ht="12.75">
      <c r="A15" s="11">
        <v>1564</v>
      </c>
      <c r="B15" t="s">
        <v>348</v>
      </c>
      <c r="C15" t="s">
        <v>258</v>
      </c>
      <c r="D15">
        <v>365</v>
      </c>
      <c r="E15" s="9">
        <v>126711</v>
      </c>
      <c r="F15" s="5">
        <f>E15*0.2269</f>
        <v>28750.725899999998</v>
      </c>
      <c r="G15" s="5">
        <f>F15/D15</f>
        <v>78.76911205479452</v>
      </c>
      <c r="H15" s="4">
        <f>G15*365</f>
        <v>28750.725899999998</v>
      </c>
    </row>
    <row r="16" spans="1:8" ht="12.75">
      <c r="A16" s="11">
        <v>1565</v>
      </c>
      <c r="B16" t="s">
        <v>348</v>
      </c>
      <c r="C16" t="s">
        <v>258</v>
      </c>
      <c r="D16">
        <v>365</v>
      </c>
      <c r="E16" s="9">
        <v>127386</v>
      </c>
      <c r="F16" s="5">
        <f>E16*0.2269</f>
        <v>28903.8834</v>
      </c>
      <c r="G16" s="5">
        <f>F16/D16</f>
        <v>79.1887216438356</v>
      </c>
      <c r="H16" s="4">
        <f>G16*365</f>
        <v>28903.883399999995</v>
      </c>
    </row>
    <row r="17" spans="1:8" ht="12.75">
      <c r="A17" s="11"/>
      <c r="E17" s="9"/>
      <c r="F17" s="5"/>
      <c r="G17" s="5"/>
      <c r="H17" s="4"/>
    </row>
    <row r="18" spans="1:8" ht="12.75">
      <c r="A18" s="11" t="s">
        <v>70</v>
      </c>
      <c r="E18" s="9"/>
      <c r="F18" s="5"/>
      <c r="G18" s="5"/>
      <c r="H18" s="4">
        <f>SUM(H12:H17)/5</f>
        <v>27761.39652</v>
      </c>
    </row>
    <row r="19" spans="1:8" ht="12.75">
      <c r="A19" s="11"/>
      <c r="E19" s="9"/>
      <c r="F19" s="5"/>
      <c r="G19" s="5"/>
      <c r="H19" s="4"/>
    </row>
    <row r="20" spans="1:8" ht="12.75">
      <c r="A20" s="11">
        <v>1566</v>
      </c>
      <c r="B20" t="s">
        <v>348</v>
      </c>
      <c r="C20" t="s">
        <v>258</v>
      </c>
      <c r="D20">
        <v>365</v>
      </c>
      <c r="E20" s="9">
        <v>129475</v>
      </c>
      <c r="F20" s="5">
        <f>E20*0.2269</f>
        <v>29377.8775</v>
      </c>
      <c r="G20" s="5">
        <f>F20/D20</f>
        <v>80.48733561643836</v>
      </c>
      <c r="H20" s="4">
        <f>G20*365</f>
        <v>29377.877500000002</v>
      </c>
    </row>
    <row r="21" spans="1:8" ht="12.75">
      <c r="A21" s="11">
        <v>1567</v>
      </c>
      <c r="B21" t="s">
        <v>348</v>
      </c>
      <c r="C21" t="s">
        <v>258</v>
      </c>
      <c r="D21">
        <v>365</v>
      </c>
      <c r="E21" s="9">
        <v>139356</v>
      </c>
      <c r="F21" s="5">
        <f>E21*0.2269</f>
        <v>31619.876399999997</v>
      </c>
      <c r="G21" s="5">
        <f>F21/D21</f>
        <v>86.62979835616437</v>
      </c>
      <c r="H21" s="4">
        <f>G21*365</f>
        <v>31619.876399999997</v>
      </c>
    </row>
    <row r="22" spans="1:8" ht="12.75">
      <c r="A22" s="11">
        <v>1568</v>
      </c>
      <c r="B22" t="s">
        <v>348</v>
      </c>
      <c r="C22" t="s">
        <v>258</v>
      </c>
      <c r="D22">
        <v>365</v>
      </c>
      <c r="E22" s="9">
        <v>141184</v>
      </c>
      <c r="F22" s="5">
        <f>E22*0.2269</f>
        <v>32034.649599999997</v>
      </c>
      <c r="G22" s="5">
        <f>F22/D22</f>
        <v>87.76616328767122</v>
      </c>
      <c r="H22" s="4">
        <f>G22*365</f>
        <v>32034.649599999993</v>
      </c>
    </row>
    <row r="23" spans="1:8" ht="12.75">
      <c r="A23" s="11">
        <v>1569</v>
      </c>
      <c r="B23" t="s">
        <v>348</v>
      </c>
      <c r="C23" t="s">
        <v>258</v>
      </c>
      <c r="D23">
        <v>365</v>
      </c>
      <c r="E23" s="9">
        <v>137967</v>
      </c>
      <c r="F23" s="5">
        <f>E23*0.2269</f>
        <v>31304.7123</v>
      </c>
      <c r="G23" s="5">
        <f>F23/D23</f>
        <v>85.76633506849315</v>
      </c>
      <c r="H23" s="4">
        <f>G23*365</f>
        <v>31304.7123</v>
      </c>
    </row>
    <row r="24" spans="1:8" ht="12.75">
      <c r="A24" s="11">
        <v>1570</v>
      </c>
      <c r="B24" t="s">
        <v>348</v>
      </c>
      <c r="C24" t="s">
        <v>258</v>
      </c>
      <c r="D24">
        <v>365</v>
      </c>
      <c r="E24" s="9">
        <v>146114</v>
      </c>
      <c r="F24" s="5">
        <f>E24*0.2269</f>
        <v>33153.266599999995</v>
      </c>
      <c r="G24" s="5">
        <f>F24/D24</f>
        <v>90.83086739726026</v>
      </c>
      <c r="H24" s="4">
        <f>G24*365</f>
        <v>33153.266599999995</v>
      </c>
    </row>
    <row r="25" spans="1:8" ht="12.75">
      <c r="A25" s="11"/>
      <c r="E25" s="9"/>
      <c r="F25" s="5"/>
      <c r="G25" s="5"/>
      <c r="H25" s="4"/>
    </row>
    <row r="26" spans="1:8" ht="12.75">
      <c r="A26" s="11" t="s">
        <v>72</v>
      </c>
      <c r="E26" s="9"/>
      <c r="F26" s="5"/>
      <c r="G26" s="5"/>
      <c r="H26" s="4">
        <f>SUM(H20:H25)/5</f>
        <v>31498.076479999996</v>
      </c>
    </row>
    <row r="27" spans="1:8" ht="12.75">
      <c r="A27" s="11"/>
      <c r="E27" s="9"/>
      <c r="F27" s="5"/>
      <c r="G27" s="5"/>
      <c r="H27" s="4"/>
    </row>
    <row r="28" spans="1:8" ht="12.75">
      <c r="A28" s="11">
        <v>1571</v>
      </c>
      <c r="B28" t="s">
        <v>348</v>
      </c>
      <c r="C28" t="s">
        <v>258</v>
      </c>
      <c r="D28">
        <v>365</v>
      </c>
      <c r="E28" s="9">
        <v>145358</v>
      </c>
      <c r="F28" s="5">
        <f>E28*0.2269</f>
        <v>32981.7302</v>
      </c>
      <c r="G28" s="5">
        <f>F28/D28</f>
        <v>90.36090465753423</v>
      </c>
      <c r="H28" s="4">
        <f>G28*365</f>
        <v>32981.7302</v>
      </c>
    </row>
    <row r="29" spans="1:8" ht="12.75">
      <c r="A29" s="11">
        <v>1572</v>
      </c>
      <c r="B29" t="s">
        <v>348</v>
      </c>
      <c r="C29" t="s">
        <v>258</v>
      </c>
      <c r="D29">
        <v>365</v>
      </c>
      <c r="E29" s="9">
        <v>148519</v>
      </c>
      <c r="F29" s="5">
        <f>E29*0.2269</f>
        <v>33698.9611</v>
      </c>
      <c r="G29" s="5">
        <f>F29/D29</f>
        <v>92.3259208219178</v>
      </c>
      <c r="H29" s="4">
        <f>G29*365</f>
        <v>33698.9611</v>
      </c>
    </row>
    <row r="30" spans="1:8" ht="12.75">
      <c r="A30" s="11">
        <v>1573</v>
      </c>
      <c r="B30" t="s">
        <v>348</v>
      </c>
      <c r="C30" t="s">
        <v>258</v>
      </c>
      <c r="D30">
        <v>365</v>
      </c>
      <c r="E30" s="9">
        <v>165910</v>
      </c>
      <c r="F30" s="5">
        <f>E30*0.2269</f>
        <v>37644.979</v>
      </c>
      <c r="G30" s="5">
        <f>F30/D30</f>
        <v>103.13692876712328</v>
      </c>
      <c r="H30" s="4">
        <f>G30*365</f>
        <v>37644.979</v>
      </c>
    </row>
    <row r="31" spans="1:8" ht="12.75">
      <c r="A31" s="11">
        <v>1574</v>
      </c>
      <c r="B31" t="s">
        <v>348</v>
      </c>
      <c r="C31" t="s">
        <v>258</v>
      </c>
      <c r="D31">
        <v>365</v>
      </c>
      <c r="E31" s="9">
        <v>160862</v>
      </c>
      <c r="F31" s="5">
        <f>E31*0.2269</f>
        <v>36499.5878</v>
      </c>
      <c r="G31" s="5">
        <f>F31/D31</f>
        <v>99.9988706849315</v>
      </c>
      <c r="H31" s="4">
        <f>G31*365</f>
        <v>36499.5878</v>
      </c>
    </row>
    <row r="32" spans="1:8" ht="12.75">
      <c r="A32" s="11">
        <v>1575</v>
      </c>
      <c r="B32" t="s">
        <v>348</v>
      </c>
      <c r="C32" t="s">
        <v>258</v>
      </c>
      <c r="D32">
        <v>365</v>
      </c>
      <c r="E32" s="9">
        <v>171004</v>
      </c>
      <c r="F32" s="5">
        <f>E32*0.2269</f>
        <v>38800.8076</v>
      </c>
      <c r="G32" s="5">
        <f>F32/D32</f>
        <v>106.30358246575342</v>
      </c>
      <c r="H32" s="4">
        <f>G32*365</f>
        <v>38800.8076</v>
      </c>
    </row>
    <row r="33" spans="1:8" ht="12.75">
      <c r="A33" s="11"/>
      <c r="E33" s="9"/>
      <c r="F33" s="5"/>
      <c r="G33" s="5"/>
      <c r="H33" s="4"/>
    </row>
    <row r="34" spans="1:8" ht="12.75">
      <c r="A34" s="11" t="s">
        <v>73</v>
      </c>
      <c r="E34" s="9"/>
      <c r="F34" s="5"/>
      <c r="G34" s="5"/>
      <c r="H34" s="4">
        <f>SUM(H28:H33)/5</f>
        <v>35925.21314</v>
      </c>
    </row>
    <row r="35" spans="1:8" ht="12.75">
      <c r="A35" s="11"/>
      <c r="E35" s="9"/>
      <c r="F35" s="5"/>
      <c r="G35" s="5"/>
      <c r="H35" s="4"/>
    </row>
    <row r="36" spans="1:8" ht="12.75">
      <c r="A36" s="11">
        <v>1576</v>
      </c>
      <c r="B36" t="s">
        <v>348</v>
      </c>
      <c r="C36" t="s">
        <v>258</v>
      </c>
      <c r="D36">
        <v>365</v>
      </c>
      <c r="E36" s="9">
        <v>165166</v>
      </c>
      <c r="F36" s="5">
        <f>E36*0.2269</f>
        <v>37476.1654</v>
      </c>
      <c r="G36" s="5">
        <f>F36/D36</f>
        <v>102.67442575342466</v>
      </c>
      <c r="H36" s="4">
        <f>G36*365</f>
        <v>37476.1654</v>
      </c>
    </row>
    <row r="37" spans="1:8" ht="12.75">
      <c r="A37" s="11">
        <v>1577</v>
      </c>
      <c r="B37" t="s">
        <v>348</v>
      </c>
      <c r="C37" t="s">
        <v>258</v>
      </c>
      <c r="D37">
        <v>365</v>
      </c>
      <c r="E37" s="9">
        <v>117368</v>
      </c>
      <c r="F37" s="5">
        <f>E37*0.2269</f>
        <v>26630.799199999998</v>
      </c>
      <c r="G37" s="5">
        <f>F37/D37</f>
        <v>72.96109369863014</v>
      </c>
      <c r="H37" s="4">
        <f>G37*365</f>
        <v>26630.7992</v>
      </c>
    </row>
    <row r="38" spans="1:8" ht="12.75">
      <c r="A38" s="11">
        <v>1578</v>
      </c>
      <c r="B38" t="s">
        <v>348</v>
      </c>
      <c r="C38" t="s">
        <v>258</v>
      </c>
      <c r="D38">
        <v>365</v>
      </c>
      <c r="E38" s="9">
        <v>134600</v>
      </c>
      <c r="F38" s="5">
        <f>E38*0.2269</f>
        <v>30540.739999999998</v>
      </c>
      <c r="G38" s="5">
        <f>F38/D38</f>
        <v>83.6732602739726</v>
      </c>
      <c r="H38" s="4">
        <f>G38*365</f>
        <v>30540.739999999998</v>
      </c>
    </row>
    <row r="39" spans="1:8" ht="12.75">
      <c r="A39" s="11">
        <v>1579</v>
      </c>
      <c r="B39" t="s">
        <v>348</v>
      </c>
      <c r="C39" t="s">
        <v>258</v>
      </c>
      <c r="D39">
        <v>365</v>
      </c>
      <c r="E39" s="9">
        <v>128522</v>
      </c>
      <c r="F39" s="5">
        <f>E39*0.2269</f>
        <v>29161.641799999998</v>
      </c>
      <c r="G39" s="5">
        <f>F39/D39</f>
        <v>79.89490904109589</v>
      </c>
      <c r="H39" s="4">
        <f>G39*365</f>
        <v>29161.641799999998</v>
      </c>
    </row>
    <row r="40" spans="1:8" ht="12.75">
      <c r="A40" s="11">
        <v>1580</v>
      </c>
      <c r="B40" t="s">
        <v>447</v>
      </c>
      <c r="C40" t="s">
        <v>447</v>
      </c>
      <c r="D40">
        <v>365</v>
      </c>
      <c r="E40" s="9"/>
      <c r="F40" s="5">
        <f>E40*0.2269</f>
        <v>0</v>
      </c>
      <c r="G40" s="5">
        <f>F40/D40</f>
        <v>0</v>
      </c>
      <c r="H40" s="4">
        <f>(H39+H44)/2</f>
        <v>28137.528649999997</v>
      </c>
    </row>
    <row r="41" spans="1:8" ht="12.75">
      <c r="A41" s="11"/>
      <c r="E41" s="9"/>
      <c r="F41" s="5"/>
      <c r="G41" s="5"/>
      <c r="H41" s="4"/>
    </row>
    <row r="42" spans="1:8" ht="12.75">
      <c r="A42" s="11" t="s">
        <v>75</v>
      </c>
      <c r="E42" s="9"/>
      <c r="F42" s="5"/>
      <c r="G42" s="5"/>
      <c r="H42" s="4">
        <f>SUM(H36:H41)/5</f>
        <v>30389.37501</v>
      </c>
    </row>
    <row r="43" spans="1:8" ht="12.75">
      <c r="A43" s="11"/>
      <c r="E43" s="9"/>
      <c r="F43" s="5"/>
      <c r="G43" s="5"/>
      <c r="H43" s="4"/>
    </row>
    <row r="44" spans="1:8" ht="12.75">
      <c r="A44" s="11">
        <v>1581</v>
      </c>
      <c r="B44" t="s">
        <v>348</v>
      </c>
      <c r="C44" t="s">
        <v>258</v>
      </c>
      <c r="D44">
        <v>365</v>
      </c>
      <c r="E44" s="9">
        <v>119495</v>
      </c>
      <c r="F44" s="5">
        <f>E44*0.2269</f>
        <v>27113.4155</v>
      </c>
      <c r="G44" s="5">
        <f>F44/D44</f>
        <v>74.2833301369863</v>
      </c>
      <c r="H44" s="4">
        <f>G44*365</f>
        <v>27113.415499999996</v>
      </c>
    </row>
    <row r="45" spans="1:8" ht="12.75">
      <c r="A45" s="11">
        <v>1582</v>
      </c>
      <c r="B45" t="s">
        <v>348</v>
      </c>
      <c r="C45" t="s">
        <v>258</v>
      </c>
      <c r="D45">
        <v>365</v>
      </c>
      <c r="E45" s="9">
        <v>121363</v>
      </c>
      <c r="F45" s="5">
        <f>E45*0.2269</f>
        <v>27537.2647</v>
      </c>
      <c r="G45" s="5">
        <f>F45/D45</f>
        <v>75.4445608219178</v>
      </c>
      <c r="H45" s="4">
        <f>G45*365</f>
        <v>27537.2647</v>
      </c>
    </row>
    <row r="46" spans="1:8" ht="12.75">
      <c r="A46" s="11">
        <v>1583</v>
      </c>
      <c r="B46" t="s">
        <v>348</v>
      </c>
      <c r="C46" t="s">
        <v>258</v>
      </c>
      <c r="D46">
        <v>365</v>
      </c>
      <c r="E46" s="9">
        <v>117284</v>
      </c>
      <c r="F46" s="5">
        <f>E46*0.2269</f>
        <v>26611.739599999997</v>
      </c>
      <c r="G46" s="5">
        <f>F46/D46</f>
        <v>72.90887561643835</v>
      </c>
      <c r="H46" s="4">
        <f>G46*365</f>
        <v>26611.739599999997</v>
      </c>
    </row>
    <row r="47" spans="1:8" ht="12.75">
      <c r="A47" s="11">
        <v>1584</v>
      </c>
      <c r="B47" t="s">
        <v>348</v>
      </c>
      <c r="C47" t="s">
        <v>258</v>
      </c>
      <c r="D47">
        <v>365</v>
      </c>
      <c r="E47" s="9">
        <v>116000</v>
      </c>
      <c r="F47" s="5">
        <f>E47*0.2269</f>
        <v>26320.399999999998</v>
      </c>
      <c r="G47" s="5">
        <f>F47/D47</f>
        <v>72.11068493150684</v>
      </c>
      <c r="H47" s="4">
        <f>G47*365</f>
        <v>26320.399999999998</v>
      </c>
    </row>
    <row r="48" spans="1:8" ht="12.75">
      <c r="A48" s="11">
        <v>1585</v>
      </c>
      <c r="B48" t="s">
        <v>348</v>
      </c>
      <c r="C48" t="s">
        <v>258</v>
      </c>
      <c r="D48">
        <v>365</v>
      </c>
      <c r="E48" s="9">
        <v>134343</v>
      </c>
      <c r="F48" s="5">
        <f>E48*0.2269</f>
        <v>30482.4267</v>
      </c>
      <c r="G48" s="5">
        <f>F48/D48</f>
        <v>83.51349780821919</v>
      </c>
      <c r="H48" s="4">
        <f>G48*365</f>
        <v>30482.426700000004</v>
      </c>
    </row>
    <row r="49" spans="1:8" ht="12.75">
      <c r="A49" s="11"/>
      <c r="E49" s="9"/>
      <c r="F49" s="5"/>
      <c r="G49" s="5"/>
      <c r="H49" s="4"/>
    </row>
    <row r="50" spans="1:8" ht="12.75">
      <c r="A50" s="11" t="s">
        <v>76</v>
      </c>
      <c r="E50" s="9"/>
      <c r="F50" s="5"/>
      <c r="G50" s="5"/>
      <c r="H50" s="4">
        <f>SUM(H44:H49)/5</f>
        <v>27613.049299999995</v>
      </c>
    </row>
    <row r="51" spans="1:8" ht="12.75">
      <c r="A51" s="11"/>
      <c r="E51" s="9"/>
      <c r="F51" s="5"/>
      <c r="G51" s="5"/>
      <c r="H51" s="4"/>
    </row>
    <row r="52" spans="1:8" ht="12.75">
      <c r="A52" s="11">
        <v>1586</v>
      </c>
      <c r="B52" t="s">
        <v>447</v>
      </c>
      <c r="C52" t="s">
        <v>447</v>
      </c>
      <c r="D52">
        <v>365</v>
      </c>
      <c r="E52" s="9"/>
      <c r="F52" s="5">
        <f>E52*0.2269</f>
        <v>0</v>
      </c>
      <c r="G52" s="5">
        <f>F52/D52</f>
        <v>0</v>
      </c>
      <c r="H52" s="4">
        <f>(H48+H53)/2</f>
        <v>28092.978795467425</v>
      </c>
    </row>
    <row r="53" spans="1:8" ht="12.75">
      <c r="A53" s="11">
        <v>1587</v>
      </c>
      <c r="B53" t="s">
        <v>226</v>
      </c>
      <c r="C53" t="s">
        <v>392</v>
      </c>
      <c r="D53">
        <f>365-(10+2)</f>
        <v>353</v>
      </c>
      <c r="E53" s="9">
        <v>109557</v>
      </c>
      <c r="F53" s="5">
        <f>E53*0.2269</f>
        <v>24858.4833</v>
      </c>
      <c r="G53" s="5">
        <f>F53/D53</f>
        <v>70.42063257790369</v>
      </c>
      <c r="H53" s="4">
        <f>G53*365</f>
        <v>25703.530890934846</v>
      </c>
    </row>
    <row r="54" spans="1:8" ht="12.75">
      <c r="A54" s="11">
        <v>1588</v>
      </c>
      <c r="B54" t="s">
        <v>447</v>
      </c>
      <c r="C54" t="s">
        <v>447</v>
      </c>
      <c r="E54" s="9"/>
      <c r="F54" s="5">
        <f>E54*0.2269</f>
        <v>0</v>
      </c>
      <c r="G54" s="5">
        <v>0</v>
      </c>
      <c r="H54" s="4">
        <f>(H53+H55)/2</f>
        <v>27418.858895467427</v>
      </c>
    </row>
    <row r="55" spans="1:8" ht="12.75">
      <c r="A55" s="11">
        <v>1589</v>
      </c>
      <c r="B55" t="s">
        <v>348</v>
      </c>
      <c r="C55" t="s">
        <v>258</v>
      </c>
      <c r="D55">
        <v>365</v>
      </c>
      <c r="E55" s="9">
        <v>128401</v>
      </c>
      <c r="F55" s="5">
        <f>E55*0.2269</f>
        <v>29134.1869</v>
      </c>
      <c r="G55" s="5">
        <f>F55/D55</f>
        <v>79.81969013698631</v>
      </c>
      <c r="H55" s="4">
        <f>G55*365</f>
        <v>29134.186900000004</v>
      </c>
    </row>
    <row r="56" spans="1:8" ht="12.75">
      <c r="A56" s="11">
        <v>1590</v>
      </c>
      <c r="B56" t="s">
        <v>348</v>
      </c>
      <c r="C56" t="s">
        <v>258</v>
      </c>
      <c r="D56">
        <v>365</v>
      </c>
      <c r="E56" s="9">
        <v>139786</v>
      </c>
      <c r="F56" s="5">
        <f>E56*0.2269</f>
        <v>31717.4434</v>
      </c>
      <c r="G56" s="5">
        <f>F56/D56</f>
        <v>86.89710520547945</v>
      </c>
      <c r="H56" s="4">
        <f>G56*365</f>
        <v>31717.4434</v>
      </c>
    </row>
    <row r="57" spans="1:8" ht="12.75">
      <c r="A57" s="11"/>
      <c r="E57" s="9"/>
      <c r="F57" s="5"/>
      <c r="G57" s="5"/>
      <c r="H57" s="4"/>
    </row>
    <row r="58" spans="1:8" ht="12.75">
      <c r="A58" s="11" t="s">
        <v>78</v>
      </c>
      <c r="E58" s="9"/>
      <c r="F58" s="5"/>
      <c r="G58" s="5"/>
      <c r="H58" s="4">
        <f>SUM(H52:H57)/5</f>
        <v>28413.39977637394</v>
      </c>
    </row>
    <row r="59" spans="1:8" ht="12.75">
      <c r="A59" s="11"/>
      <c r="E59" s="9"/>
      <c r="F59" s="5"/>
      <c r="G59" s="5"/>
      <c r="H59" s="4"/>
    </row>
    <row r="60" spans="1:8" ht="12.75">
      <c r="A60" s="11">
        <v>1591</v>
      </c>
      <c r="B60" t="s">
        <v>348</v>
      </c>
      <c r="C60" t="s">
        <v>258</v>
      </c>
      <c r="D60">
        <v>365</v>
      </c>
      <c r="E60" s="9">
        <v>135074</v>
      </c>
      <c r="F60" s="5">
        <f>E60*0.2269</f>
        <v>30648.2906</v>
      </c>
      <c r="G60" s="5">
        <f>F60/D60</f>
        <v>83.9679194520548</v>
      </c>
      <c r="H60" s="4">
        <f>G60*365</f>
        <v>30648.290600000004</v>
      </c>
    </row>
    <row r="61" spans="1:8" ht="12.75">
      <c r="A61" s="11">
        <v>1592</v>
      </c>
      <c r="B61" t="s">
        <v>348</v>
      </c>
      <c r="C61" t="s">
        <v>258</v>
      </c>
      <c r="D61">
        <v>365</v>
      </c>
      <c r="E61" s="9">
        <v>132671</v>
      </c>
      <c r="F61" s="5">
        <f>E61*0.2269</f>
        <v>30103.049899999998</v>
      </c>
      <c r="G61" s="5">
        <f>F61/D61</f>
        <v>82.47410931506849</v>
      </c>
      <c r="H61" s="4">
        <f>G61*365</f>
        <v>30103.049899999998</v>
      </c>
    </row>
    <row r="62" spans="1:8" ht="12.75">
      <c r="A62" s="11">
        <v>1593</v>
      </c>
      <c r="B62" t="s">
        <v>348</v>
      </c>
      <c r="C62" t="s">
        <v>258</v>
      </c>
      <c r="D62">
        <v>365</v>
      </c>
      <c r="E62" s="9">
        <v>106295</v>
      </c>
      <c r="F62" s="5">
        <f>E62*0.2269</f>
        <v>24118.335499999997</v>
      </c>
      <c r="G62" s="5">
        <f>F62/D62</f>
        <v>66.07763150684931</v>
      </c>
      <c r="H62" s="4">
        <f>G62*365</f>
        <v>24118.3355</v>
      </c>
    </row>
    <row r="63" spans="1:8" ht="12.75">
      <c r="A63" s="11">
        <v>1594</v>
      </c>
      <c r="B63" t="s">
        <v>348</v>
      </c>
      <c r="C63" t="s">
        <v>258</v>
      </c>
      <c r="D63">
        <v>365</v>
      </c>
      <c r="E63" s="9">
        <v>110040</v>
      </c>
      <c r="F63" s="5">
        <f>E63*0.2269</f>
        <v>24968.075999999997</v>
      </c>
      <c r="G63" s="5">
        <f>F63/D63</f>
        <v>68.40568767123287</v>
      </c>
      <c r="H63" s="4">
        <f>G63*365</f>
        <v>24968.075999999997</v>
      </c>
    </row>
    <row r="64" spans="1:8" ht="12.75">
      <c r="A64" s="11">
        <v>1595</v>
      </c>
      <c r="B64" t="s">
        <v>348</v>
      </c>
      <c r="C64" t="s">
        <v>258</v>
      </c>
      <c r="D64">
        <v>365</v>
      </c>
      <c r="E64" s="9">
        <v>110959</v>
      </c>
      <c r="F64" s="5">
        <f>E64*0.2269</f>
        <v>25176.5971</v>
      </c>
      <c r="G64" s="5">
        <f>F64/D64</f>
        <v>68.97697835616438</v>
      </c>
      <c r="H64" s="4">
        <f>G64*365</f>
        <v>25176.5971</v>
      </c>
    </row>
    <row r="65" spans="1:8" ht="12.75">
      <c r="A65" s="11"/>
      <c r="E65" s="9"/>
      <c r="F65" s="5"/>
      <c r="G65" s="5"/>
      <c r="H65" s="4"/>
    </row>
    <row r="66" spans="1:8" ht="12.75">
      <c r="A66" s="11" t="s">
        <v>82</v>
      </c>
      <c r="E66" s="9"/>
      <c r="F66" s="5"/>
      <c r="G66" s="5"/>
      <c r="H66" s="4">
        <f>SUM(H60:H65)/5</f>
        <v>27002.86982</v>
      </c>
    </row>
    <row r="67" spans="1:8" ht="12.75">
      <c r="A67" s="11"/>
      <c r="E67" s="9"/>
      <c r="F67" s="5"/>
      <c r="G67" s="5"/>
      <c r="H67" s="4"/>
    </row>
    <row r="68" spans="1:8" ht="12.75">
      <c r="A68" s="11">
        <v>1596</v>
      </c>
      <c r="B68" t="s">
        <v>349</v>
      </c>
      <c r="C68" t="s">
        <v>393</v>
      </c>
      <c r="D68">
        <f>365+31+28+31</f>
        <v>455</v>
      </c>
      <c r="E68" s="9">
        <f>29441+85000</f>
        <v>114441</v>
      </c>
      <c r="F68" s="5">
        <f>E68*0.2269</f>
        <v>25966.6629</v>
      </c>
      <c r="G68" s="5">
        <f>F68/D68</f>
        <v>57.06958879120879</v>
      </c>
      <c r="H68" s="4">
        <f>G68*365</f>
        <v>20830.39990879121</v>
      </c>
    </row>
    <row r="69" spans="1:8" ht="12.75">
      <c r="A69" s="11">
        <v>1597</v>
      </c>
      <c r="B69" t="s">
        <v>219</v>
      </c>
      <c r="C69" t="s">
        <v>293</v>
      </c>
      <c r="D69">
        <f>365-(5+31+10)</f>
        <v>319</v>
      </c>
      <c r="E69" s="9">
        <v>92600</v>
      </c>
      <c r="F69" s="5">
        <f>E69*0.2269</f>
        <v>21010.94</v>
      </c>
      <c r="G69" s="5">
        <f>F69/D69</f>
        <v>65.86501567398119</v>
      </c>
      <c r="H69" s="4">
        <f>G69*365</f>
        <v>24040.730721003136</v>
      </c>
    </row>
    <row r="70" spans="1:8" ht="12.75">
      <c r="A70" s="11">
        <v>1598</v>
      </c>
      <c r="B70" t="s">
        <v>225</v>
      </c>
      <c r="C70" t="s">
        <v>198</v>
      </c>
      <c r="D70">
        <v>365</v>
      </c>
      <c r="E70" s="9">
        <v>106138</v>
      </c>
      <c r="F70" s="5">
        <f>E70*0.2269</f>
        <v>24082.712199999998</v>
      </c>
      <c r="G70" s="5">
        <f>F70/D70</f>
        <v>65.98003342465753</v>
      </c>
      <c r="H70" s="4">
        <f>G70*365</f>
        <v>24082.7122</v>
      </c>
    </row>
    <row r="71" spans="1:8" ht="12.75">
      <c r="A71" s="11">
        <v>1599</v>
      </c>
      <c r="B71" t="s">
        <v>225</v>
      </c>
      <c r="C71" t="s">
        <v>198</v>
      </c>
      <c r="D71">
        <v>365</v>
      </c>
      <c r="E71" s="9">
        <v>108000</v>
      </c>
      <c r="F71" s="5">
        <f>E71*0.2269</f>
        <v>24505.2</v>
      </c>
      <c r="G71" s="5">
        <f>F71/D71</f>
        <v>67.13753424657534</v>
      </c>
      <c r="H71" s="4">
        <f>G71*365</f>
        <v>24505.2</v>
      </c>
    </row>
    <row r="72" spans="1:8" ht="12.75">
      <c r="A72" s="11">
        <v>1600</v>
      </c>
      <c r="B72" t="s">
        <v>218</v>
      </c>
      <c r="C72" t="s">
        <v>398</v>
      </c>
      <c r="D72">
        <v>365</v>
      </c>
      <c r="E72" s="9">
        <v>117091</v>
      </c>
      <c r="F72" s="5">
        <f>E72*0.2269</f>
        <v>26567.9479</v>
      </c>
      <c r="G72" s="5">
        <f>F72/D72</f>
        <v>72.78889835616438</v>
      </c>
      <c r="H72" s="4">
        <f>G72*365</f>
        <v>26567.9479</v>
      </c>
    </row>
    <row r="73" spans="1:8" ht="12.75">
      <c r="A73" s="11"/>
      <c r="E73" s="9"/>
      <c r="F73" s="5"/>
      <c r="G73" s="5"/>
      <c r="H73" s="4"/>
    </row>
    <row r="74" spans="1:8" ht="12.75">
      <c r="A74" s="11" t="s">
        <v>84</v>
      </c>
      <c r="E74" s="9"/>
      <c r="F74" s="5"/>
      <c r="G74" s="5"/>
      <c r="H74" s="4">
        <f>SUM(H68:H73)/5</f>
        <v>24005.39814595887</v>
      </c>
    </row>
    <row r="75" spans="1:8" ht="12.75">
      <c r="A75" s="11"/>
      <c r="E75" s="9"/>
      <c r="F75" s="5"/>
      <c r="G75" s="5"/>
      <c r="H75" s="4"/>
    </row>
    <row r="76" spans="1:8" ht="12.75">
      <c r="A76" s="11">
        <v>1601</v>
      </c>
      <c r="B76" t="s">
        <v>225</v>
      </c>
      <c r="C76" t="s">
        <v>397</v>
      </c>
      <c r="D76">
        <v>365</v>
      </c>
      <c r="E76" s="9">
        <v>115060</v>
      </c>
      <c r="F76" s="5">
        <f>E76*0.2269</f>
        <v>26107.113999999998</v>
      </c>
      <c r="G76" s="5">
        <f>F76/D76</f>
        <v>71.52633972602739</v>
      </c>
      <c r="H76" s="4">
        <f>G76*365</f>
        <v>26107.113999999998</v>
      </c>
    </row>
    <row r="77" spans="1:8" ht="12.75">
      <c r="A77" s="11">
        <v>1602</v>
      </c>
      <c r="B77" t="s">
        <v>218</v>
      </c>
      <c r="C77" t="s">
        <v>398</v>
      </c>
      <c r="D77">
        <v>365</v>
      </c>
      <c r="E77" s="9">
        <v>132661</v>
      </c>
      <c r="F77" s="5">
        <f>E77*0.2269</f>
        <v>30100.780899999998</v>
      </c>
      <c r="G77" s="5">
        <f>F77/D77</f>
        <v>82.46789287671233</v>
      </c>
      <c r="H77" s="4">
        <f>G77*365</f>
        <v>30100.780899999998</v>
      </c>
    </row>
    <row r="78" spans="1:8" ht="12.75">
      <c r="A78" s="11">
        <v>1603</v>
      </c>
      <c r="B78" t="s">
        <v>229</v>
      </c>
      <c r="C78" t="s">
        <v>400</v>
      </c>
      <c r="D78">
        <v>365</v>
      </c>
      <c r="E78" s="9">
        <v>140935</v>
      </c>
      <c r="F78" s="5">
        <f>E78*0.2269</f>
        <v>31978.1515</v>
      </c>
      <c r="G78" s="5">
        <f>F78/D78</f>
        <v>87.61137397260273</v>
      </c>
      <c r="H78" s="4">
        <f>G78*365</f>
        <v>31978.1515</v>
      </c>
    </row>
    <row r="79" spans="1:8" ht="12.75">
      <c r="A79" s="11">
        <v>1604</v>
      </c>
      <c r="B79" t="s">
        <v>218</v>
      </c>
      <c r="C79" t="s">
        <v>400</v>
      </c>
      <c r="D79">
        <v>365</v>
      </c>
      <c r="E79" s="9">
        <v>128828</v>
      </c>
      <c r="F79" s="5">
        <f>E79*0.2269</f>
        <v>29231.0732</v>
      </c>
      <c r="G79" s="5">
        <f>F79/D79</f>
        <v>80.08513205479451</v>
      </c>
      <c r="H79" s="4">
        <f>G79*365</f>
        <v>29231.0732</v>
      </c>
    </row>
    <row r="80" spans="1:8" ht="12.75">
      <c r="A80" s="11">
        <v>1605</v>
      </c>
      <c r="B80" t="s">
        <v>447</v>
      </c>
      <c r="C80" t="s">
        <v>447</v>
      </c>
      <c r="E80" s="9"/>
      <c r="F80" s="5">
        <f>E80*0.2269</f>
        <v>0</v>
      </c>
      <c r="G80" s="5">
        <v>0</v>
      </c>
      <c r="H80" s="4">
        <f>(H79+H84)/2</f>
        <v>31264.777899999997</v>
      </c>
    </row>
    <row r="81" spans="1:8" ht="12.75">
      <c r="A81" s="11"/>
      <c r="E81" s="9"/>
      <c r="F81" s="5"/>
      <c r="G81" s="5"/>
      <c r="H81" s="4"/>
    </row>
    <row r="82" spans="1:8" ht="12.75">
      <c r="A82" s="11" t="s">
        <v>86</v>
      </c>
      <c r="E82" s="9"/>
      <c r="F82" s="5"/>
      <c r="G82" s="5"/>
      <c r="H82" s="4">
        <f>SUM(H76:H81)/5</f>
        <v>29736.3795</v>
      </c>
    </row>
    <row r="83" spans="1:8" ht="12.75">
      <c r="A83" s="11"/>
      <c r="E83" s="9"/>
      <c r="F83" s="5"/>
      <c r="G83" s="5"/>
      <c r="H83" s="4"/>
    </row>
    <row r="84" spans="1:8" ht="12.75">
      <c r="A84" s="11">
        <v>1606</v>
      </c>
      <c r="B84" t="s">
        <v>218</v>
      </c>
      <c r="C84" t="s">
        <v>400</v>
      </c>
      <c r="D84">
        <v>365</v>
      </c>
      <c r="E84" s="9">
        <v>146754</v>
      </c>
      <c r="F84" s="5">
        <f>E84*0.2269</f>
        <v>33298.482599999996</v>
      </c>
      <c r="G84" s="5">
        <f>F84/D84</f>
        <v>91.22871945205478</v>
      </c>
      <c r="H84" s="4">
        <f>G84*365</f>
        <v>33298.482599999996</v>
      </c>
    </row>
    <row r="85" spans="1:8" ht="12.75">
      <c r="A85" s="11">
        <v>1607</v>
      </c>
      <c r="B85" t="s">
        <v>218</v>
      </c>
      <c r="C85" t="s">
        <v>400</v>
      </c>
      <c r="D85">
        <v>365</v>
      </c>
      <c r="E85" s="9">
        <v>149793</v>
      </c>
      <c r="F85" s="5">
        <f>E85*0.2269</f>
        <v>33988.0317</v>
      </c>
      <c r="G85" s="5">
        <f>F85/D85</f>
        <v>93.11789506849316</v>
      </c>
      <c r="H85" s="4">
        <f>G85*365</f>
        <v>33988.0317</v>
      </c>
    </row>
    <row r="86" spans="1:8" ht="12.75">
      <c r="A86" s="11">
        <v>1608</v>
      </c>
      <c r="B86" t="s">
        <v>218</v>
      </c>
      <c r="C86" t="s">
        <v>400</v>
      </c>
      <c r="D86">
        <v>365</v>
      </c>
      <c r="E86" s="9">
        <v>154866</v>
      </c>
      <c r="F86" s="5">
        <f>E86*0.2269</f>
        <v>35139.0954</v>
      </c>
      <c r="G86" s="5">
        <f>F86/D86</f>
        <v>96.27149424657534</v>
      </c>
      <c r="H86" s="4">
        <f>G86*365</f>
        <v>35139.0954</v>
      </c>
    </row>
    <row r="87" spans="1:8" ht="12.75">
      <c r="A87" s="11">
        <v>1609</v>
      </c>
      <c r="B87" t="s">
        <v>218</v>
      </c>
      <c r="C87" t="s">
        <v>400</v>
      </c>
      <c r="D87">
        <v>365</v>
      </c>
      <c r="E87" s="9">
        <v>136624</v>
      </c>
      <c r="F87" s="5">
        <f>E87*0.2269</f>
        <v>30999.9856</v>
      </c>
      <c r="G87" s="5">
        <f>F87/D87</f>
        <v>84.93146739726028</v>
      </c>
      <c r="H87" s="4">
        <f>G87*365</f>
        <v>30999.9856</v>
      </c>
    </row>
    <row r="88" spans="1:8" ht="12.75">
      <c r="A88" s="11">
        <v>1610</v>
      </c>
      <c r="B88" t="s">
        <v>218</v>
      </c>
      <c r="C88" t="s">
        <v>400</v>
      </c>
      <c r="D88">
        <v>365</v>
      </c>
      <c r="E88" s="9">
        <v>163864</v>
      </c>
      <c r="F88" s="5">
        <f>E88*0.2269</f>
        <v>37180.7416</v>
      </c>
      <c r="G88" s="5">
        <f>F88/D88</f>
        <v>101.86504547945206</v>
      </c>
      <c r="H88" s="4">
        <f>G88*365</f>
        <v>37180.7416</v>
      </c>
    </row>
    <row r="89" spans="1:8" ht="12.75">
      <c r="A89" s="11"/>
      <c r="E89" s="9"/>
      <c r="F89" s="5"/>
      <c r="G89" s="5"/>
      <c r="H89" s="4"/>
    </row>
    <row r="90" spans="1:8" ht="12.75">
      <c r="A90" s="11" t="s">
        <v>88</v>
      </c>
      <c r="E90" s="9"/>
      <c r="F90" s="5"/>
      <c r="G90" s="5"/>
      <c r="H90" s="4">
        <f>SUM(H84:H89)/5</f>
        <v>34121.26738</v>
      </c>
    </row>
    <row r="91" spans="1:8" ht="12.75">
      <c r="A91" s="11"/>
      <c r="E91" s="9"/>
      <c r="F91" s="5"/>
      <c r="G91" s="5"/>
      <c r="H91" s="4"/>
    </row>
    <row r="92" spans="1:8" ht="12.75">
      <c r="A92" s="11">
        <v>1611</v>
      </c>
      <c r="B92" t="s">
        <v>218</v>
      </c>
      <c r="C92" t="s">
        <v>400</v>
      </c>
      <c r="D92">
        <v>365</v>
      </c>
      <c r="E92" s="9">
        <v>178821</v>
      </c>
      <c r="F92" s="5">
        <f>E92*0.2269</f>
        <v>40574.484899999996</v>
      </c>
      <c r="G92" s="5">
        <f>F92/D92</f>
        <v>111.16297232876711</v>
      </c>
      <c r="H92" s="4">
        <f>G92*365</f>
        <v>40574.484899999996</v>
      </c>
    </row>
    <row r="93" spans="1:8" ht="12.75">
      <c r="A93" s="11">
        <v>1612</v>
      </c>
      <c r="B93" t="s">
        <v>218</v>
      </c>
      <c r="C93" t="s">
        <v>400</v>
      </c>
      <c r="D93">
        <v>365</v>
      </c>
      <c r="E93" s="9">
        <v>185928</v>
      </c>
      <c r="F93" s="5">
        <f>E93*0.2269</f>
        <v>42187.0632</v>
      </c>
      <c r="G93" s="5">
        <f>F93/D93</f>
        <v>115.58099506849314</v>
      </c>
      <c r="H93" s="4">
        <f>G93*365</f>
        <v>42187.0632</v>
      </c>
    </row>
    <row r="94" spans="1:8" ht="12.75">
      <c r="A94" s="11">
        <v>1613</v>
      </c>
      <c r="B94" t="s">
        <v>218</v>
      </c>
      <c r="C94" t="s">
        <v>261</v>
      </c>
      <c r="D94">
        <f>31+30+31+31+30+31+30+13</f>
        <v>227</v>
      </c>
      <c r="E94" s="9">
        <v>153930</v>
      </c>
      <c r="F94" s="5">
        <f>E94*0.2269</f>
        <v>34926.717</v>
      </c>
      <c r="G94" s="5">
        <f>F94/D94</f>
        <v>153.86218942731276</v>
      </c>
      <c r="H94" s="4">
        <f>G94*365</f>
        <v>56159.699140969155</v>
      </c>
    </row>
    <row r="95" spans="1:8" ht="12.75">
      <c r="A95" s="11">
        <v>1614</v>
      </c>
      <c r="B95" t="s">
        <v>218</v>
      </c>
      <c r="C95" t="s">
        <v>400</v>
      </c>
      <c r="D95">
        <v>365</v>
      </c>
      <c r="E95" s="9">
        <v>197043</v>
      </c>
      <c r="F95" s="5">
        <f>E95*0.2269</f>
        <v>44709.0567</v>
      </c>
      <c r="G95" s="5">
        <f>F95/D95</f>
        <v>122.49056630136987</v>
      </c>
      <c r="H95" s="4">
        <f>G95*365</f>
        <v>44709.0567</v>
      </c>
    </row>
    <row r="96" spans="1:8" ht="12.75">
      <c r="A96" s="11">
        <v>1615</v>
      </c>
      <c r="B96" t="s">
        <v>218</v>
      </c>
      <c r="C96" t="s">
        <v>400</v>
      </c>
      <c r="D96">
        <v>365</v>
      </c>
      <c r="E96" s="9">
        <v>237796</v>
      </c>
      <c r="F96" s="5">
        <f>E96*0.2269</f>
        <v>53955.9124</v>
      </c>
      <c r="G96" s="5">
        <f>F96/D96</f>
        <v>147.82441753424658</v>
      </c>
      <c r="H96" s="4">
        <f>G96*365</f>
        <v>53955.9124</v>
      </c>
    </row>
    <row r="97" spans="1:8" ht="12.75">
      <c r="A97" s="11"/>
      <c r="E97" s="9"/>
      <c r="F97" s="5"/>
      <c r="G97" s="5"/>
      <c r="H97" s="4"/>
    </row>
    <row r="98" spans="1:8" ht="12.75">
      <c r="A98" s="11" t="s">
        <v>89</v>
      </c>
      <c r="E98" s="9"/>
      <c r="F98" s="5"/>
      <c r="G98" s="5"/>
      <c r="H98" s="4">
        <f>SUM(H92:H97)/5</f>
        <v>47517.24326819384</v>
      </c>
    </row>
    <row r="99" spans="1:8" ht="12.75">
      <c r="A99" s="11"/>
      <c r="E99" s="9"/>
      <c r="F99" s="5"/>
      <c r="G99" s="5"/>
      <c r="H99" s="4"/>
    </row>
    <row r="100" spans="1:8" ht="12.75">
      <c r="A100" s="11">
        <v>1616</v>
      </c>
      <c r="B100" t="s">
        <v>218</v>
      </c>
      <c r="C100" t="s">
        <v>400</v>
      </c>
      <c r="D100">
        <v>365</v>
      </c>
      <c r="E100" s="9">
        <v>202973</v>
      </c>
      <c r="F100" s="5">
        <f>E100*0.2269</f>
        <v>46054.5737</v>
      </c>
      <c r="G100" s="5">
        <f>F100/D100</f>
        <v>126.17691424657535</v>
      </c>
      <c r="H100" s="4">
        <f>G100*365</f>
        <v>46054.5737</v>
      </c>
    </row>
    <row r="101" spans="1:8" ht="12.75">
      <c r="A101" s="11">
        <v>1617</v>
      </c>
      <c r="B101" t="s">
        <v>218</v>
      </c>
      <c r="C101" t="s">
        <v>400</v>
      </c>
      <c r="D101">
        <v>365</v>
      </c>
      <c r="E101" s="9">
        <v>198861</v>
      </c>
      <c r="F101" s="5">
        <f>E101*0.2269</f>
        <v>45121.5609</v>
      </c>
      <c r="G101" s="5">
        <f>F101/D101</f>
        <v>123.62071479452054</v>
      </c>
      <c r="H101" s="4">
        <f>G101*365</f>
        <v>45121.5609</v>
      </c>
    </row>
    <row r="102" spans="1:8" ht="12.75">
      <c r="A102" s="11">
        <v>1618</v>
      </c>
      <c r="B102" t="s">
        <v>218</v>
      </c>
      <c r="C102" t="s">
        <v>400</v>
      </c>
      <c r="D102">
        <v>365</v>
      </c>
      <c r="E102" s="9">
        <v>225312</v>
      </c>
      <c r="F102" s="5">
        <f>E102*0.2269</f>
        <v>51123.292799999996</v>
      </c>
      <c r="G102" s="5">
        <f>F102/D102</f>
        <v>140.06381589041095</v>
      </c>
      <c r="H102" s="4">
        <f>G102*365</f>
        <v>51123.292799999996</v>
      </c>
    </row>
    <row r="103" spans="1:8" ht="12.75">
      <c r="A103" s="11">
        <v>1619</v>
      </c>
      <c r="B103" t="s">
        <v>218</v>
      </c>
      <c r="C103" t="s">
        <v>400</v>
      </c>
      <c r="D103">
        <v>365</v>
      </c>
      <c r="E103" s="9">
        <v>254430</v>
      </c>
      <c r="F103" s="5">
        <f>E103*0.2269</f>
        <v>57730.166999999994</v>
      </c>
      <c r="G103" s="5">
        <f>F103/D103</f>
        <v>158.16484109589038</v>
      </c>
      <c r="H103" s="4">
        <f>G103*365</f>
        <v>57730.16699999999</v>
      </c>
    </row>
    <row r="104" spans="1:8" ht="12.75">
      <c r="A104" s="11">
        <v>1620</v>
      </c>
      <c r="B104" t="s">
        <v>410</v>
      </c>
      <c r="C104" t="s">
        <v>230</v>
      </c>
      <c r="D104">
        <v>365</v>
      </c>
      <c r="E104" s="9">
        <v>180856</v>
      </c>
      <c r="F104" s="5">
        <f>E104*0.2269</f>
        <v>41036.2264</v>
      </c>
      <c r="G104" s="5">
        <f>F104/D104</f>
        <v>112.42801753424658</v>
      </c>
      <c r="H104" s="4">
        <f>G104*365</f>
        <v>41036.2264</v>
      </c>
    </row>
    <row r="105" spans="1:8" ht="12.75">
      <c r="A105" s="11"/>
      <c r="E105" s="9"/>
      <c r="F105" s="5"/>
      <c r="G105" s="5"/>
      <c r="H105" s="4"/>
    </row>
    <row r="106" spans="1:8" ht="12.75">
      <c r="A106" s="11" t="s">
        <v>91</v>
      </c>
      <c r="E106" s="9"/>
      <c r="F106" s="5"/>
      <c r="G106" s="5"/>
      <c r="H106" s="4">
        <f>SUM(H100:H105)/5</f>
        <v>48213.16416</v>
      </c>
    </row>
    <row r="107" spans="1:8" ht="12.75">
      <c r="A107" s="11"/>
      <c r="E107" s="9"/>
      <c r="F107" s="5"/>
      <c r="G107" s="5"/>
      <c r="H107" s="4"/>
    </row>
    <row r="108" spans="1:8" ht="12.75">
      <c r="A108" s="11">
        <v>1621</v>
      </c>
      <c r="B108" t="s">
        <v>410</v>
      </c>
      <c r="C108" t="s">
        <v>230</v>
      </c>
      <c r="D108">
        <v>365</v>
      </c>
      <c r="E108" s="9">
        <v>234884</v>
      </c>
      <c r="F108" s="5">
        <f>E108*0.2269</f>
        <v>53295.179599999996</v>
      </c>
      <c r="G108" s="5">
        <f>F108/D108</f>
        <v>146.0141906849315</v>
      </c>
      <c r="H108" s="4">
        <f>G108*365</f>
        <v>53295.179599999996</v>
      </c>
    </row>
    <row r="109" spans="1:8" ht="12.75">
      <c r="A109" s="11">
        <v>1622</v>
      </c>
      <c r="B109" t="s">
        <v>410</v>
      </c>
      <c r="C109" t="s">
        <v>230</v>
      </c>
      <c r="D109">
        <v>365</v>
      </c>
      <c r="E109" s="9">
        <v>268238</v>
      </c>
      <c r="F109" s="5">
        <f>E109*0.2269</f>
        <v>60863.2022</v>
      </c>
      <c r="G109" s="5">
        <f>F109/D109</f>
        <v>166.7484991780822</v>
      </c>
      <c r="H109" s="4">
        <f>G109*365</f>
        <v>60863.2022</v>
      </c>
    </row>
    <row r="110" spans="1:8" ht="12.75">
      <c r="A110" s="11">
        <v>1623</v>
      </c>
      <c r="B110" t="s">
        <v>410</v>
      </c>
      <c r="C110" t="s">
        <v>230</v>
      </c>
      <c r="D110">
        <v>365</v>
      </c>
      <c r="E110" s="9">
        <v>256716</v>
      </c>
      <c r="F110" s="5">
        <f>E110*0.2269</f>
        <v>58248.8604</v>
      </c>
      <c r="G110" s="5">
        <f>F110/D110</f>
        <v>159.58591890410958</v>
      </c>
      <c r="H110" s="4">
        <f>G110*365</f>
        <v>58248.8604</v>
      </c>
    </row>
    <row r="111" spans="1:8" ht="12.75">
      <c r="A111" s="11">
        <v>1624</v>
      </c>
      <c r="B111" t="s">
        <v>410</v>
      </c>
      <c r="C111" t="s">
        <v>230</v>
      </c>
      <c r="D111">
        <v>365</v>
      </c>
      <c r="E111" s="9">
        <v>232907</v>
      </c>
      <c r="F111" s="5">
        <f>E111*0.2269</f>
        <v>52846.5983</v>
      </c>
      <c r="G111" s="5">
        <f>F111/D111</f>
        <v>144.7852008219178</v>
      </c>
      <c r="H111" s="4">
        <f>G111*365</f>
        <v>52846.5983</v>
      </c>
    </row>
    <row r="112" spans="1:8" ht="12.75">
      <c r="A112" s="11">
        <v>1625</v>
      </c>
      <c r="B112" t="s">
        <v>410</v>
      </c>
      <c r="C112" t="s">
        <v>230</v>
      </c>
      <c r="D112">
        <v>365</v>
      </c>
      <c r="E112" s="9">
        <v>232679</v>
      </c>
      <c r="F112" s="5">
        <f>E112*0.2269</f>
        <v>52794.865099999995</v>
      </c>
      <c r="G112" s="5">
        <f>F112/D112</f>
        <v>144.64346602739724</v>
      </c>
      <c r="H112" s="4">
        <f>G112*365</f>
        <v>52794.865099999995</v>
      </c>
    </row>
    <row r="113" spans="1:8" ht="12.75">
      <c r="A113" s="11"/>
      <c r="E113" s="9"/>
      <c r="F113" s="5"/>
      <c r="G113" s="5"/>
      <c r="H113" s="4"/>
    </row>
    <row r="114" spans="1:8" ht="12.75">
      <c r="A114" s="11" t="s">
        <v>93</v>
      </c>
      <c r="E114" s="9"/>
      <c r="F114" s="5"/>
      <c r="G114" s="5"/>
      <c r="H114" s="4">
        <f>SUM(H108:H113)/5</f>
        <v>55609.74112</v>
      </c>
    </row>
    <row r="115" spans="1:8" ht="12.75">
      <c r="A115" s="11"/>
      <c r="E115" s="9"/>
      <c r="F115" s="5"/>
      <c r="G115" s="5"/>
      <c r="H115" s="4"/>
    </row>
    <row r="116" spans="1:8" ht="12.75">
      <c r="A116" s="11">
        <v>1626</v>
      </c>
      <c r="B116" t="s">
        <v>410</v>
      </c>
      <c r="C116" t="s">
        <v>230</v>
      </c>
      <c r="D116">
        <v>365</v>
      </c>
      <c r="E116" s="9">
        <v>195456</v>
      </c>
      <c r="F116" s="5">
        <f>E116*0.2269</f>
        <v>44348.9664</v>
      </c>
      <c r="G116" s="5">
        <f>F116/D116</f>
        <v>121.50401753424657</v>
      </c>
      <c r="H116" s="4">
        <f>G116*365</f>
        <v>44348.9664</v>
      </c>
    </row>
    <row r="117" spans="1:8" ht="12.75">
      <c r="A117" s="11">
        <v>1627</v>
      </c>
      <c r="B117" t="s">
        <v>410</v>
      </c>
      <c r="C117" t="s">
        <v>230</v>
      </c>
      <c r="D117">
        <v>365</v>
      </c>
      <c r="E117" s="9">
        <v>194805</v>
      </c>
      <c r="F117" s="5">
        <f>E117*0.2269</f>
        <v>44201.254499999995</v>
      </c>
      <c r="G117" s="5">
        <f>F117/D117</f>
        <v>121.09932739726027</v>
      </c>
      <c r="H117" s="4">
        <f>G117*365</f>
        <v>44201.254499999995</v>
      </c>
    </row>
    <row r="118" spans="1:8" ht="12.75">
      <c r="A118" s="11">
        <v>1628</v>
      </c>
      <c r="B118" t="s">
        <v>410</v>
      </c>
      <c r="C118" t="s">
        <v>230</v>
      </c>
      <c r="D118">
        <v>365</v>
      </c>
      <c r="E118" s="9">
        <v>237370</v>
      </c>
      <c r="F118" s="5">
        <f>E118*0.2269</f>
        <v>53859.253</v>
      </c>
      <c r="G118" s="5">
        <f>F118/D118</f>
        <v>147.55959726027396</v>
      </c>
      <c r="H118" s="4">
        <f>G118*365</f>
        <v>53859.253</v>
      </c>
    </row>
    <row r="119" spans="1:8" ht="12.75">
      <c r="A119" s="11">
        <v>1629</v>
      </c>
      <c r="B119" t="s">
        <v>410</v>
      </c>
      <c r="C119" t="s">
        <v>230</v>
      </c>
      <c r="D119">
        <v>365</v>
      </c>
      <c r="E119" s="9">
        <v>202168</v>
      </c>
      <c r="F119" s="5">
        <f>E119*0.2269</f>
        <v>45871.9192</v>
      </c>
      <c r="G119" s="5">
        <f>F119/D119</f>
        <v>125.6764909589041</v>
      </c>
      <c r="H119" s="4">
        <f>G119*365</f>
        <v>45871.9192</v>
      </c>
    </row>
    <row r="120" spans="1:8" ht="12.75">
      <c r="A120" s="11">
        <v>1630</v>
      </c>
      <c r="B120" t="s">
        <v>410</v>
      </c>
      <c r="C120" t="s">
        <v>230</v>
      </c>
      <c r="D120">
        <v>365</v>
      </c>
      <c r="E120" s="9">
        <v>224889</v>
      </c>
      <c r="F120" s="5">
        <f>E120*0.2269</f>
        <v>51027.314099999996</v>
      </c>
      <c r="G120" s="5">
        <f>F120/D120</f>
        <v>139.8008605479452</v>
      </c>
      <c r="H120" s="4">
        <f>G120*365</f>
        <v>51027.3141</v>
      </c>
    </row>
    <row r="121" spans="1:8" ht="12.75">
      <c r="A121" s="11"/>
      <c r="E121" s="9"/>
      <c r="F121" s="5"/>
      <c r="G121" s="5"/>
      <c r="H121" s="4"/>
    </row>
    <row r="122" spans="1:8" ht="12.75">
      <c r="A122" s="11" t="s">
        <v>95</v>
      </c>
      <c r="E122" s="9"/>
      <c r="F122" s="5"/>
      <c r="G122" s="5"/>
      <c r="H122" s="4">
        <f>SUM(H116:H121)/5</f>
        <v>47861.74144</v>
      </c>
    </row>
    <row r="123" spans="1:8" ht="12.75">
      <c r="A123" s="11"/>
      <c r="E123" s="9"/>
      <c r="F123" s="5"/>
      <c r="G123" s="5"/>
      <c r="H123" s="4"/>
    </row>
    <row r="124" spans="1:8" ht="12.75">
      <c r="A124" s="11">
        <v>1631</v>
      </c>
      <c r="B124" t="s">
        <v>410</v>
      </c>
      <c r="C124" t="s">
        <v>230</v>
      </c>
      <c r="D124">
        <v>365</v>
      </c>
      <c r="E124" s="9">
        <v>245807</v>
      </c>
      <c r="F124" s="5">
        <f>E124*0.2269</f>
        <v>55773.6083</v>
      </c>
      <c r="G124" s="5">
        <f>F124/D124</f>
        <v>152.80440630136985</v>
      </c>
      <c r="H124" s="4">
        <f>G124*365</f>
        <v>55773.60829999999</v>
      </c>
    </row>
    <row r="125" spans="1:8" ht="12.75">
      <c r="A125" s="11">
        <v>1632</v>
      </c>
      <c r="B125" t="s">
        <v>410</v>
      </c>
      <c r="C125" t="s">
        <v>230</v>
      </c>
      <c r="D125">
        <v>365</v>
      </c>
      <c r="E125" s="9">
        <v>210226</v>
      </c>
      <c r="F125" s="5">
        <f>E125*0.2269</f>
        <v>47700.2794</v>
      </c>
      <c r="G125" s="5">
        <f>F125/D125</f>
        <v>130.68569698630137</v>
      </c>
      <c r="H125" s="4">
        <f>G125*365</f>
        <v>47700.2794</v>
      </c>
    </row>
    <row r="126" spans="1:8" ht="12.75">
      <c r="A126" s="11">
        <v>1633</v>
      </c>
      <c r="B126" t="s">
        <v>410</v>
      </c>
      <c r="C126" t="s">
        <v>230</v>
      </c>
      <c r="D126">
        <v>365</v>
      </c>
      <c r="E126" s="9">
        <v>219686</v>
      </c>
      <c r="F126" s="5">
        <f>E126*0.2269</f>
        <v>49846.7534</v>
      </c>
      <c r="G126" s="5">
        <f>F126/D126</f>
        <v>136.56644767123288</v>
      </c>
      <c r="H126" s="4">
        <f>G126*365</f>
        <v>49846.7534</v>
      </c>
    </row>
    <row r="127" spans="1:8" ht="12.75">
      <c r="A127" s="11">
        <v>1634</v>
      </c>
      <c r="B127" t="s">
        <v>410</v>
      </c>
      <c r="C127" t="s">
        <v>230</v>
      </c>
      <c r="D127">
        <v>365</v>
      </c>
      <c r="E127" s="9">
        <v>208215</v>
      </c>
      <c r="F127" s="5">
        <f>E127*0.2269</f>
        <v>47243.983499999995</v>
      </c>
      <c r="G127" s="5">
        <f>F127/D127</f>
        <v>129.4355712328767</v>
      </c>
      <c r="H127" s="4">
        <f>G127*365</f>
        <v>47243.983499999995</v>
      </c>
    </row>
    <row r="128" spans="1:8" ht="12.75">
      <c r="A128" s="11">
        <v>1635</v>
      </c>
      <c r="B128" t="s">
        <v>410</v>
      </c>
      <c r="C128" t="s">
        <v>230</v>
      </c>
      <c r="D128">
        <v>365</v>
      </c>
      <c r="E128" s="9">
        <v>172358</v>
      </c>
      <c r="F128" s="5">
        <f>E128*0.2269</f>
        <v>39108.0302</v>
      </c>
      <c r="G128" s="5">
        <f>F128/D128</f>
        <v>107.14528821917808</v>
      </c>
      <c r="H128" s="4">
        <f>G128*365</f>
        <v>39108.0302</v>
      </c>
    </row>
    <row r="129" spans="1:8" ht="12.75">
      <c r="A129" s="11"/>
      <c r="E129" s="9"/>
      <c r="F129" s="5"/>
      <c r="G129" s="5"/>
      <c r="H129" s="4"/>
    </row>
    <row r="130" spans="1:8" ht="12.75">
      <c r="A130" s="11" t="s">
        <v>96</v>
      </c>
      <c r="E130" s="9"/>
      <c r="F130" s="5"/>
      <c r="G130" s="5"/>
      <c r="H130" s="4">
        <f>SUM(H124:H129)/5</f>
        <v>47934.530960000004</v>
      </c>
    </row>
    <row r="131" spans="1:8" ht="12.75">
      <c r="A131" s="11"/>
      <c r="E131" s="9"/>
      <c r="F131" s="5"/>
      <c r="G131" s="5"/>
      <c r="H131" s="4"/>
    </row>
    <row r="132" spans="1:8" ht="12.75">
      <c r="A132" s="11">
        <v>1636</v>
      </c>
      <c r="B132" t="s">
        <v>410</v>
      </c>
      <c r="C132" t="s">
        <v>230</v>
      </c>
      <c r="D132">
        <v>365</v>
      </c>
      <c r="E132" s="9">
        <v>150722</v>
      </c>
      <c r="F132" s="5">
        <f>E132*0.2269</f>
        <v>34198.8218</v>
      </c>
      <c r="G132" s="5">
        <f>F132/D132</f>
        <v>93.69540219178081</v>
      </c>
      <c r="H132" s="4">
        <f>G132*365</f>
        <v>34198.8218</v>
      </c>
    </row>
    <row r="133" spans="1:8" ht="12.75">
      <c r="A133" s="11">
        <v>1637</v>
      </c>
      <c r="B133" t="s">
        <v>410</v>
      </c>
      <c r="C133" t="s">
        <v>230</v>
      </c>
      <c r="D133">
        <v>365</v>
      </c>
      <c r="E133" s="9">
        <v>137861</v>
      </c>
      <c r="F133" s="5">
        <f>E133*0.2269</f>
        <v>31280.6609</v>
      </c>
      <c r="G133" s="5">
        <f>F133/D133</f>
        <v>85.70044082191781</v>
      </c>
      <c r="H133" s="4">
        <f>G133*365</f>
        <v>31280.6609</v>
      </c>
    </row>
    <row r="134" spans="1:8" ht="12.75">
      <c r="A134" s="11">
        <v>1638</v>
      </c>
      <c r="B134" t="s">
        <v>410</v>
      </c>
      <c r="C134" t="s">
        <v>221</v>
      </c>
      <c r="D134">
        <f>365-14</f>
        <v>351</v>
      </c>
      <c r="E134" s="9">
        <v>143565</v>
      </c>
      <c r="F134" s="5">
        <f>E134*0.2269</f>
        <v>32574.8985</v>
      </c>
      <c r="G134" s="5">
        <f>F134/D134</f>
        <v>92.80597863247863</v>
      </c>
      <c r="H134" s="4">
        <f>G134*365</f>
        <v>33874.1822008547</v>
      </c>
    </row>
    <row r="135" spans="1:8" ht="12.75">
      <c r="A135" s="11">
        <v>1639</v>
      </c>
      <c r="B135" t="s">
        <v>223</v>
      </c>
      <c r="C135" t="s">
        <v>220</v>
      </c>
      <c r="D135">
        <v>365</v>
      </c>
      <c r="E135" s="9">
        <v>125378</v>
      </c>
      <c r="F135" s="5">
        <f>E135*0.2269</f>
        <v>28448.2682</v>
      </c>
      <c r="G135" s="5">
        <f>F135/D135</f>
        <v>77.94046082191781</v>
      </c>
      <c r="H135" s="4">
        <f>G135*365</f>
        <v>28448.268200000002</v>
      </c>
    </row>
    <row r="136" spans="1:8" ht="12.75">
      <c r="A136" s="11">
        <v>1640</v>
      </c>
      <c r="B136" t="s">
        <v>222</v>
      </c>
      <c r="C136" t="s">
        <v>230</v>
      </c>
      <c r="D136">
        <v>365</v>
      </c>
      <c r="E136" s="9">
        <v>120846</v>
      </c>
      <c r="F136" s="5">
        <f>E136*0.2269</f>
        <v>27419.9574</v>
      </c>
      <c r="G136" s="5">
        <f>F136/D136</f>
        <v>75.12317095890411</v>
      </c>
      <c r="H136" s="4">
        <f>G136*365</f>
        <v>27419.9574</v>
      </c>
    </row>
    <row r="137" spans="1:8" ht="12.75">
      <c r="A137" s="11"/>
      <c r="E137" s="9"/>
      <c r="F137" s="5"/>
      <c r="G137" s="5"/>
      <c r="H137" s="4"/>
    </row>
    <row r="138" spans="1:8" ht="12.75">
      <c r="A138" s="11" t="s">
        <v>98</v>
      </c>
      <c r="E138" s="9"/>
      <c r="F138" s="5"/>
      <c r="G138" s="5"/>
      <c r="H138" s="4">
        <f>SUM(H132:H137)/5</f>
        <v>31044.37810017094</v>
      </c>
    </row>
    <row r="139" spans="1:8" ht="12.75">
      <c r="A139" s="11"/>
      <c r="E139" s="9"/>
      <c r="F139" s="5"/>
      <c r="G139" s="5"/>
      <c r="H139" s="4"/>
    </row>
    <row r="140" spans="1:8" ht="12.75">
      <c r="A140" s="11">
        <v>1641</v>
      </c>
      <c r="B140" t="s">
        <v>410</v>
      </c>
      <c r="C140" t="s">
        <v>401</v>
      </c>
      <c r="D140">
        <f>365-30-25</f>
        <v>310</v>
      </c>
      <c r="E140" s="9">
        <v>119820</v>
      </c>
      <c r="F140" s="5">
        <f>E140*0.2269</f>
        <v>27187.158</v>
      </c>
      <c r="G140" s="5">
        <f>F140/D140</f>
        <v>87.70050967741935</v>
      </c>
      <c r="H140" s="4">
        <f>G140*365</f>
        <v>32010.68603225806</v>
      </c>
    </row>
    <row r="141" spans="1:8" ht="12.75">
      <c r="A141" s="11">
        <v>1642</v>
      </c>
      <c r="B141" t="s">
        <v>402</v>
      </c>
      <c r="C141" t="s">
        <v>230</v>
      </c>
      <c r="D141">
        <f>365+23+30</f>
        <v>418</v>
      </c>
      <c r="E141" s="9">
        <v>144236</v>
      </c>
      <c r="F141" s="5">
        <f>E141*0.2269</f>
        <v>32727.1484</v>
      </c>
      <c r="G141" s="5">
        <f>F141/D141</f>
        <v>78.29461339712918</v>
      </c>
      <c r="H141" s="4">
        <f>G141*365</f>
        <v>28577.533889952152</v>
      </c>
    </row>
    <row r="142" spans="1:8" ht="12.75">
      <c r="A142" s="11">
        <v>1643</v>
      </c>
      <c r="B142" t="s">
        <v>410</v>
      </c>
      <c r="C142" t="s">
        <v>230</v>
      </c>
      <c r="D142">
        <v>365</v>
      </c>
      <c r="E142" s="9">
        <v>125325</v>
      </c>
      <c r="F142" s="5">
        <f>E142*0.2269</f>
        <v>28436.2425</v>
      </c>
      <c r="G142" s="5">
        <f>F142/D142</f>
        <v>77.90751369863014</v>
      </c>
      <c r="H142" s="4">
        <f>G142*365</f>
        <v>28436.2425</v>
      </c>
    </row>
    <row r="143" spans="1:8" ht="12.75">
      <c r="A143" s="11">
        <v>1644</v>
      </c>
      <c r="B143" t="s">
        <v>410</v>
      </c>
      <c r="C143" t="s">
        <v>230</v>
      </c>
      <c r="D143">
        <v>365</v>
      </c>
      <c r="E143" s="9">
        <v>113552</v>
      </c>
      <c r="F143" s="5">
        <f>E143*0.2269</f>
        <v>25764.9488</v>
      </c>
      <c r="G143" s="5">
        <f>F143/D143</f>
        <v>70.5889008219178</v>
      </c>
      <c r="H143" s="4">
        <f>G143*365</f>
        <v>25764.9488</v>
      </c>
    </row>
    <row r="144" spans="1:8" ht="12.75">
      <c r="A144" s="11">
        <v>1645</v>
      </c>
      <c r="B144" t="s">
        <v>410</v>
      </c>
      <c r="C144" t="s">
        <v>230</v>
      </c>
      <c r="D144">
        <v>365</v>
      </c>
      <c r="E144" s="9">
        <v>113336</v>
      </c>
      <c r="F144" s="5">
        <f>E144*0.2269</f>
        <v>25715.9384</v>
      </c>
      <c r="G144" s="5">
        <f>F144/D144</f>
        <v>70.45462575342465</v>
      </c>
      <c r="H144" s="4">
        <f>G144*365</f>
        <v>25715.9384</v>
      </c>
    </row>
    <row r="145" spans="1:8" ht="12.75">
      <c r="A145" s="11"/>
      <c r="E145" s="9"/>
      <c r="F145" s="5"/>
      <c r="G145" s="5"/>
      <c r="H145" s="4"/>
    </row>
    <row r="146" spans="1:8" ht="12.75">
      <c r="A146" s="11" t="s">
        <v>99</v>
      </c>
      <c r="E146" s="9"/>
      <c r="F146" s="5"/>
      <c r="G146" s="5"/>
      <c r="H146" s="4">
        <f>SUM(H140:H145)/5</f>
        <v>28101.06992444204</v>
      </c>
    </row>
    <row r="147" spans="1:8" ht="12.75">
      <c r="A147" s="11"/>
      <c r="E147" s="9"/>
      <c r="F147" s="5"/>
      <c r="G147" s="5"/>
      <c r="H147" s="4"/>
    </row>
    <row r="148" spans="1:8" ht="12.75">
      <c r="A148" s="11">
        <v>1646</v>
      </c>
      <c r="B148" t="s">
        <v>230</v>
      </c>
      <c r="C148" t="s">
        <v>359</v>
      </c>
      <c r="D148">
        <f>365-(30+31+28+27)</f>
        <v>249</v>
      </c>
      <c r="E148" s="9">
        <v>113752</v>
      </c>
      <c r="F148" s="5">
        <f>E148*0.2269</f>
        <v>25810.3288</v>
      </c>
      <c r="G148" s="5">
        <f>F148/D148</f>
        <v>103.65593895582329</v>
      </c>
      <c r="H148" s="4">
        <f>G148*365</f>
        <v>37834.4177188755</v>
      </c>
    </row>
    <row r="149" spans="1:8" ht="12.75">
      <c r="A149" s="11">
        <v>1647</v>
      </c>
      <c r="B149" t="s">
        <v>358</v>
      </c>
      <c r="C149" t="s">
        <v>196</v>
      </c>
      <c r="D149">
        <f>365+27+28+31+30</f>
        <v>481</v>
      </c>
      <c r="E149" s="9">
        <v>155434</v>
      </c>
      <c r="F149" s="5">
        <f>E149*0.2269</f>
        <v>35267.9746</v>
      </c>
      <c r="G149" s="5">
        <f>F149/D149</f>
        <v>73.32219251559252</v>
      </c>
      <c r="H149" s="4">
        <f>G149*365</f>
        <v>26762.60026819127</v>
      </c>
    </row>
    <row r="150" spans="1:8" ht="12.75">
      <c r="A150" s="11">
        <v>1648</v>
      </c>
      <c r="B150" t="s">
        <v>419</v>
      </c>
      <c r="C150" t="s">
        <v>357</v>
      </c>
      <c r="D150">
        <f>365-(28+28+31+30+1)</f>
        <v>247</v>
      </c>
      <c r="E150" s="9">
        <v>77900</v>
      </c>
      <c r="F150" s="5">
        <f>E150*0.2269</f>
        <v>17675.51</v>
      </c>
      <c r="G150" s="5">
        <f>F150/D150</f>
        <v>71.56076923076922</v>
      </c>
      <c r="H150" s="4">
        <f>G150*365</f>
        <v>26119.680769230767</v>
      </c>
    </row>
    <row r="151" spans="1:8" ht="12.75">
      <c r="A151" s="11">
        <v>1649</v>
      </c>
      <c r="B151" t="s">
        <v>358</v>
      </c>
      <c r="C151" t="s">
        <v>372</v>
      </c>
      <c r="D151">
        <f>365+27+28+31+30+31+13</f>
        <v>525</v>
      </c>
      <c r="E151" s="9">
        <v>189462</v>
      </c>
      <c r="F151" s="5">
        <f>E151*0.2269</f>
        <v>42988.9278</v>
      </c>
      <c r="G151" s="5">
        <f>F151/D151</f>
        <v>81.88367199999999</v>
      </c>
      <c r="H151" s="4">
        <f>G151*365</f>
        <v>29887.540279999997</v>
      </c>
    </row>
    <row r="152" spans="1:8" ht="12.75">
      <c r="A152" s="11">
        <v>1650</v>
      </c>
      <c r="B152" t="s">
        <v>373</v>
      </c>
      <c r="C152" t="s">
        <v>292</v>
      </c>
      <c r="D152">
        <f>365-(27+31+30+31+13)</f>
        <v>233</v>
      </c>
      <c r="E152" s="9">
        <v>85736</v>
      </c>
      <c r="F152" s="5">
        <f>E152*0.2269</f>
        <v>19453.4984</v>
      </c>
      <c r="G152" s="5">
        <f>F152/D152</f>
        <v>83.49140944206009</v>
      </c>
      <c r="H152" s="4">
        <f>G152*365</f>
        <v>30474.364446351934</v>
      </c>
    </row>
    <row r="153" spans="1:8" ht="12.75">
      <c r="A153" s="11"/>
      <c r="E153" s="9"/>
      <c r="F153" s="5"/>
      <c r="G153" s="5"/>
      <c r="H153" s="4"/>
    </row>
    <row r="154" spans="1:8" ht="12.75">
      <c r="A154" s="11" t="s">
        <v>101</v>
      </c>
      <c r="E154" s="9"/>
      <c r="F154" s="5"/>
      <c r="G154" s="5"/>
      <c r="H154" s="4">
        <f>SUM(H148:H153)/5</f>
        <v>30215.72069652989</v>
      </c>
    </row>
    <row r="155" spans="1:8" ht="12.75">
      <c r="A155" s="11"/>
      <c r="E155" s="9"/>
      <c r="F155" s="5"/>
      <c r="G155" s="5"/>
      <c r="H155" s="4"/>
    </row>
    <row r="156" spans="1:8" ht="12.75">
      <c r="A156" s="11">
        <v>1651</v>
      </c>
      <c r="B156" t="s">
        <v>290</v>
      </c>
      <c r="C156" t="s">
        <v>231</v>
      </c>
      <c r="D156">
        <f>365+27+31+30</f>
        <v>453</v>
      </c>
      <c r="E156" s="9">
        <v>163166</v>
      </c>
      <c r="F156" s="5">
        <f>E156*0.2269</f>
        <v>37022.365399999995</v>
      </c>
      <c r="G156" s="5">
        <f>F156/D156</f>
        <v>81.72707593818984</v>
      </c>
      <c r="H156" s="4">
        <f>G156*365</f>
        <v>29830.382717439294</v>
      </c>
    </row>
    <row r="157" spans="1:8" ht="12.75">
      <c r="A157" s="11">
        <v>1652</v>
      </c>
      <c r="B157" t="s">
        <v>410</v>
      </c>
      <c r="C157" t="s">
        <v>228</v>
      </c>
      <c r="D157">
        <v>365</v>
      </c>
      <c r="E157" s="9">
        <v>127353</v>
      </c>
      <c r="F157" s="5">
        <f>E157*0.2269</f>
        <v>28896.395699999997</v>
      </c>
      <c r="G157" s="5">
        <f>F157/D157</f>
        <v>79.16820739726026</v>
      </c>
      <c r="H157" s="4">
        <f>G157*365</f>
        <v>28896.395699999994</v>
      </c>
    </row>
    <row r="158" spans="1:8" ht="12.75">
      <c r="A158" s="11">
        <v>1653</v>
      </c>
      <c r="B158" t="s">
        <v>410</v>
      </c>
      <c r="C158" t="s">
        <v>230</v>
      </c>
      <c r="D158">
        <v>365</v>
      </c>
      <c r="E158" s="9">
        <v>163184</v>
      </c>
      <c r="F158" s="5">
        <f>E158*0.2269</f>
        <v>37026.4496</v>
      </c>
      <c r="G158" s="5">
        <f>F158/D158</f>
        <v>101.44232767123287</v>
      </c>
      <c r="H158" s="4">
        <f>G158*365</f>
        <v>37026.4496</v>
      </c>
    </row>
    <row r="159" spans="1:8" ht="12.75">
      <c r="A159" s="11">
        <v>1654</v>
      </c>
      <c r="B159" t="s">
        <v>410</v>
      </c>
      <c r="C159" t="s">
        <v>375</v>
      </c>
      <c r="D159">
        <f>365+31+30</f>
        <v>426</v>
      </c>
      <c r="E159" s="9">
        <v>153593</v>
      </c>
      <c r="F159" s="5">
        <f>E159*0.2269</f>
        <v>34850.2517</v>
      </c>
      <c r="G159" s="5">
        <f>F159/D159</f>
        <v>81.80810258215962</v>
      </c>
      <c r="H159" s="4">
        <f>G159*365</f>
        <v>29859.957442488263</v>
      </c>
    </row>
    <row r="160" spans="1:8" ht="12.75">
      <c r="A160" s="11">
        <v>1655</v>
      </c>
      <c r="B160" t="s">
        <v>366</v>
      </c>
      <c r="C160" t="s">
        <v>374</v>
      </c>
      <c r="D160">
        <v>365</v>
      </c>
      <c r="E160" s="9">
        <v>130534</v>
      </c>
      <c r="F160" s="5">
        <f>E160*0.2269</f>
        <v>29618.1646</v>
      </c>
      <c r="G160" s="5">
        <f>F160/D160</f>
        <v>81.14565643835617</v>
      </c>
      <c r="H160" s="4">
        <f>G160*365</f>
        <v>29618.164600000004</v>
      </c>
    </row>
    <row r="161" spans="1:8" ht="12.75">
      <c r="A161" s="11"/>
      <c r="E161" s="9"/>
      <c r="F161" s="5"/>
      <c r="G161" s="5"/>
      <c r="H161" s="4"/>
    </row>
    <row r="162" spans="1:8" ht="12.75">
      <c r="A162" s="11" t="s">
        <v>103</v>
      </c>
      <c r="E162" s="9"/>
      <c r="F162" s="5"/>
      <c r="G162" s="5"/>
      <c r="H162" s="4">
        <f>SUM(H156:H161)/5</f>
        <v>31046.27001198551</v>
      </c>
    </row>
    <row r="163" spans="1:8" ht="12.75">
      <c r="A163" s="11"/>
      <c r="E163" s="9"/>
      <c r="F163" s="5"/>
      <c r="G163" s="5"/>
      <c r="H163" s="4"/>
    </row>
    <row r="164" spans="1:8" ht="12.75">
      <c r="A164" s="11">
        <v>1656</v>
      </c>
      <c r="B164" t="s">
        <v>370</v>
      </c>
      <c r="C164" t="s">
        <v>424</v>
      </c>
      <c r="D164">
        <f>365-(26+30+8)</f>
        <v>301</v>
      </c>
      <c r="E164" s="9">
        <v>88179</v>
      </c>
      <c r="F164" s="5">
        <f>E164*0.2269</f>
        <v>20007.8151</v>
      </c>
      <c r="G164" s="5">
        <f>F164/D164</f>
        <v>66.47114651162791</v>
      </c>
      <c r="H164" s="4">
        <f>G164*365</f>
        <v>24261.968476744187</v>
      </c>
    </row>
    <row r="165" spans="1:8" ht="12.75">
      <c r="A165" s="11">
        <v>1657</v>
      </c>
      <c r="B165" t="s">
        <v>423</v>
      </c>
      <c r="C165" t="s">
        <v>230</v>
      </c>
      <c r="D165">
        <f>365-5</f>
        <v>360</v>
      </c>
      <c r="E165" s="9">
        <v>122624</v>
      </c>
      <c r="F165" s="5">
        <f>E165*0.2269</f>
        <v>27823.385599999998</v>
      </c>
      <c r="G165" s="5">
        <f>F165/D165</f>
        <v>77.28718222222221</v>
      </c>
      <c r="H165" s="4">
        <f>G165*365</f>
        <v>28209.82151111111</v>
      </c>
    </row>
    <row r="166" spans="1:8" ht="12.75">
      <c r="A166" s="11">
        <v>1658</v>
      </c>
      <c r="B166" t="s">
        <v>410</v>
      </c>
      <c r="C166" t="s">
        <v>230</v>
      </c>
      <c r="D166">
        <v>365</v>
      </c>
      <c r="E166" s="9">
        <v>117334</v>
      </c>
      <c r="F166" s="5">
        <f>E166*0.2269</f>
        <v>26623.0846</v>
      </c>
      <c r="G166" s="5">
        <f>F166/D166</f>
        <v>72.93995780821918</v>
      </c>
      <c r="H166" s="4">
        <f>G166*365</f>
        <v>26623.0846</v>
      </c>
    </row>
    <row r="167" spans="1:8" ht="12.75">
      <c r="A167" s="11">
        <v>1659</v>
      </c>
      <c r="B167" t="s">
        <v>419</v>
      </c>
      <c r="C167" t="s">
        <v>230</v>
      </c>
      <c r="D167">
        <v>365</v>
      </c>
      <c r="E167" s="9">
        <v>119049</v>
      </c>
      <c r="F167" s="5">
        <f>E167*0.2269</f>
        <v>27012.2181</v>
      </c>
      <c r="G167" s="5">
        <f>F167/D167</f>
        <v>74.00607698630137</v>
      </c>
      <c r="H167" s="4">
        <f>G167*365</f>
        <v>27012.2181</v>
      </c>
    </row>
    <row r="168" spans="1:8" ht="12.75">
      <c r="A168" s="11">
        <v>1660</v>
      </c>
      <c r="B168" t="s">
        <v>410</v>
      </c>
      <c r="C168" t="s">
        <v>230</v>
      </c>
      <c r="D168">
        <v>365</v>
      </c>
      <c r="E168" s="9">
        <v>113530</v>
      </c>
      <c r="F168" s="5">
        <f>E168*0.2269</f>
        <v>25759.957</v>
      </c>
      <c r="G168" s="5">
        <f>F168/D168</f>
        <v>70.57522465753424</v>
      </c>
      <c r="H168" s="4">
        <f>G168*365</f>
        <v>25759.956999999995</v>
      </c>
    </row>
    <row r="169" spans="1:8" ht="12.75">
      <c r="A169" s="11"/>
      <c r="E169" s="9"/>
      <c r="F169" s="5"/>
      <c r="G169" s="5"/>
      <c r="H169" s="4"/>
    </row>
    <row r="170" spans="1:8" ht="12.75">
      <c r="A170" s="11" t="s">
        <v>105</v>
      </c>
      <c r="E170" s="9"/>
      <c r="F170" s="5"/>
      <c r="G170" s="5"/>
      <c r="H170" s="4">
        <f>SUM(H164:H169)/5</f>
        <v>26373.409937571058</v>
      </c>
    </row>
    <row r="171" spans="1:8" ht="12.75">
      <c r="A171" s="11"/>
      <c r="E171" s="9"/>
      <c r="F171" s="5"/>
      <c r="G171" s="5"/>
      <c r="H171" s="4"/>
    </row>
    <row r="172" spans="1:8" ht="12.75">
      <c r="A172" s="11">
        <v>1661</v>
      </c>
      <c r="B172" t="s">
        <v>410</v>
      </c>
      <c r="C172" t="s">
        <v>230</v>
      </c>
      <c r="D172">
        <v>365</v>
      </c>
      <c r="E172" s="9">
        <v>104459</v>
      </c>
      <c r="F172" s="5">
        <f>E172*0.2269</f>
        <v>23701.7471</v>
      </c>
      <c r="G172" s="5">
        <f>F172/D172</f>
        <v>64.93629342465753</v>
      </c>
      <c r="H172" s="4">
        <f>G172*365</f>
        <v>23701.7471</v>
      </c>
    </row>
    <row r="173" spans="1:8" ht="12.75">
      <c r="A173" s="11">
        <v>1662</v>
      </c>
      <c r="B173" t="s">
        <v>410</v>
      </c>
      <c r="C173" t="s">
        <v>230</v>
      </c>
      <c r="D173">
        <v>365</v>
      </c>
      <c r="E173" s="9">
        <v>96814</v>
      </c>
      <c r="F173" s="5">
        <f>E173*0.2269</f>
        <v>21967.0966</v>
      </c>
      <c r="G173" s="5">
        <f>F173/D173</f>
        <v>60.18382630136986</v>
      </c>
      <c r="H173" s="4">
        <f>G173*365</f>
        <v>21967.0966</v>
      </c>
    </row>
    <row r="174" spans="1:8" ht="12.75">
      <c r="A174" s="11">
        <v>1663</v>
      </c>
      <c r="B174" t="s">
        <v>447</v>
      </c>
      <c r="C174" t="s">
        <v>447</v>
      </c>
      <c r="E174" s="9"/>
      <c r="F174" s="5">
        <f>E174*0.2269</f>
        <v>0</v>
      </c>
      <c r="G174" s="5"/>
      <c r="H174" s="4">
        <f>(H173+H175)/2</f>
        <v>21657.735989967106</v>
      </c>
    </row>
    <row r="175" spans="1:8" ht="12.75">
      <c r="A175" s="11">
        <v>1664</v>
      </c>
      <c r="B175" t="s">
        <v>410</v>
      </c>
      <c r="C175" t="s">
        <v>299</v>
      </c>
      <c r="D175">
        <f>365-(31+30)</f>
        <v>304</v>
      </c>
      <c r="E175" s="9">
        <v>78363</v>
      </c>
      <c r="F175" s="5">
        <f>E175*0.2269</f>
        <v>17780.5647</v>
      </c>
      <c r="G175" s="5">
        <f>F175/D175</f>
        <v>58.48869967105263</v>
      </c>
      <c r="H175" s="4">
        <f>G175*365</f>
        <v>21348.37537993421</v>
      </c>
    </row>
    <row r="176" spans="1:8" ht="12.75">
      <c r="A176" s="11">
        <v>1665</v>
      </c>
      <c r="B176" t="s">
        <v>298</v>
      </c>
      <c r="C176" t="s">
        <v>238</v>
      </c>
      <c r="D176">
        <f>365+31+30+31+30+31+19</f>
        <v>537</v>
      </c>
      <c r="E176" s="9">
        <v>157226</v>
      </c>
      <c r="F176" s="5">
        <f>E176*0.2269</f>
        <v>35674.579399999995</v>
      </c>
      <c r="G176" s="5">
        <f>F176/D176</f>
        <v>66.43310875232774</v>
      </c>
      <c r="H176" s="4">
        <f>G176*365</f>
        <v>24248.084694599624</v>
      </c>
    </row>
    <row r="177" spans="1:8" ht="12.75">
      <c r="A177" s="11"/>
      <c r="E177" s="9"/>
      <c r="F177" s="5"/>
      <c r="G177" s="5"/>
      <c r="H177" s="4"/>
    </row>
    <row r="178" spans="1:8" ht="12.75">
      <c r="A178" s="11" t="s">
        <v>107</v>
      </c>
      <c r="E178" s="9"/>
      <c r="F178" s="5"/>
      <c r="G178" s="5"/>
      <c r="H178" s="4">
        <f>SUM(H172:H177)/5</f>
        <v>22584.607952900184</v>
      </c>
    </row>
    <row r="179" spans="1:8" ht="12.75">
      <c r="A179" s="11"/>
      <c r="E179" s="9"/>
      <c r="F179" s="5"/>
      <c r="G179" s="5"/>
      <c r="H179" s="4"/>
    </row>
    <row r="180" spans="1:8" ht="12.75">
      <c r="A180" s="11">
        <v>1666</v>
      </c>
      <c r="B180" t="s">
        <v>237</v>
      </c>
      <c r="C180" t="s">
        <v>376</v>
      </c>
      <c r="D180">
        <f>365-(19+31)</f>
        <v>315</v>
      </c>
      <c r="E180" s="9">
        <v>105893</v>
      </c>
      <c r="F180" s="5">
        <f>E180*0.2269</f>
        <v>24027.1217</v>
      </c>
      <c r="G180" s="5">
        <f>F180/D180</f>
        <v>76.27657682539683</v>
      </c>
      <c r="H180" s="4">
        <f>G180*365</f>
        <v>27840.95054126984</v>
      </c>
    </row>
    <row r="181" spans="1:8" ht="12.75">
      <c r="A181" s="11">
        <v>1667</v>
      </c>
      <c r="B181" t="s">
        <v>366</v>
      </c>
      <c r="C181" t="s">
        <v>232</v>
      </c>
      <c r="D181">
        <f>365-(31+30)</f>
        <v>304</v>
      </c>
      <c r="E181" s="9">
        <v>116298</v>
      </c>
      <c r="F181" s="5">
        <f>E181*0.2269</f>
        <v>26388.0162</v>
      </c>
      <c r="G181" s="5">
        <f>F181/D181</f>
        <v>86.80268486842105</v>
      </c>
      <c r="H181" s="4">
        <f>G181*365</f>
        <v>31682.979976973686</v>
      </c>
    </row>
    <row r="182" spans="1:8" ht="12.75">
      <c r="A182" s="11">
        <v>1668</v>
      </c>
      <c r="B182" t="s">
        <v>410</v>
      </c>
      <c r="C182" t="s">
        <v>417</v>
      </c>
      <c r="D182">
        <f>365+18</f>
        <v>383</v>
      </c>
      <c r="E182" s="9">
        <v>169818</v>
      </c>
      <c r="F182" s="5">
        <f>E182*0.2269</f>
        <v>38531.7042</v>
      </c>
      <c r="G182" s="5">
        <f>F182/D182</f>
        <v>100.60497180156658</v>
      </c>
      <c r="H182" s="4">
        <f>G182*365</f>
        <v>36720.8147075718</v>
      </c>
    </row>
    <row r="183" spans="1:8" ht="12.75">
      <c r="A183" s="11">
        <v>1669</v>
      </c>
      <c r="B183" t="s">
        <v>422</v>
      </c>
      <c r="C183" t="s">
        <v>377</v>
      </c>
      <c r="D183">
        <f>365+9+30</f>
        <v>404</v>
      </c>
      <c r="E183" s="9">
        <v>177639</v>
      </c>
      <c r="F183" s="5">
        <f>E183*0.2269</f>
        <v>40306.2891</v>
      </c>
      <c r="G183" s="5">
        <f>F183/D183</f>
        <v>99.76804232673268</v>
      </c>
      <c r="H183" s="4">
        <f>G183*365</f>
        <v>36415.33544925743</v>
      </c>
    </row>
    <row r="184" spans="1:8" ht="12.75">
      <c r="A184" s="11">
        <v>1670</v>
      </c>
      <c r="B184" t="s">
        <v>366</v>
      </c>
      <c r="C184" t="s">
        <v>368</v>
      </c>
      <c r="D184">
        <f>365+16</f>
        <v>381</v>
      </c>
      <c r="E184" s="9">
        <v>206601</v>
      </c>
      <c r="F184" s="5">
        <f>E184*0.2269</f>
        <v>46877.766899999995</v>
      </c>
      <c r="G184" s="5">
        <f>F184/D184</f>
        <v>123.03875826771652</v>
      </c>
      <c r="H184" s="4">
        <f>G184*365</f>
        <v>44909.14676771653</v>
      </c>
    </row>
    <row r="185" spans="1:8" ht="12.75">
      <c r="A185" s="11"/>
      <c r="E185" s="9"/>
      <c r="F185" s="5"/>
      <c r="G185" s="5"/>
      <c r="H185" s="4"/>
    </row>
    <row r="186" spans="1:8" ht="12.75">
      <c r="A186" s="11" t="s">
        <v>109</v>
      </c>
      <c r="E186" s="9"/>
      <c r="F186" s="5"/>
      <c r="G186" s="5"/>
      <c r="H186" s="4">
        <f>SUM(H180:H185)/5</f>
        <v>35513.84548855786</v>
      </c>
    </row>
    <row r="187" spans="1:8" ht="12.75">
      <c r="A187" s="11"/>
      <c r="E187" s="9"/>
      <c r="F187" s="5"/>
      <c r="G187" s="5"/>
      <c r="H187" s="4"/>
    </row>
    <row r="188" spans="1:8" ht="12.75">
      <c r="A188" s="11">
        <v>1671</v>
      </c>
      <c r="B188" t="s">
        <v>367</v>
      </c>
      <c r="C188" t="s">
        <v>460</v>
      </c>
      <c r="D188">
        <f>14+31+30+24</f>
        <v>99</v>
      </c>
      <c r="E188" s="9">
        <v>62344</v>
      </c>
      <c r="F188" s="5">
        <f>E188*0.2269</f>
        <v>14145.853599999999</v>
      </c>
      <c r="G188" s="5">
        <f>F188/D188</f>
        <v>142.8874101010101</v>
      </c>
      <c r="H188" s="4">
        <f>G188*365</f>
        <v>52153.904686868686</v>
      </c>
    </row>
    <row r="189" spans="1:8" ht="12.75">
      <c r="A189" s="11">
        <v>1672</v>
      </c>
      <c r="B189" t="s">
        <v>460</v>
      </c>
      <c r="C189" t="s">
        <v>371</v>
      </c>
      <c r="D189">
        <f>365+7+30+31+31+28+31+30+31+30</f>
        <v>614</v>
      </c>
      <c r="E189" s="9">
        <v>377564</v>
      </c>
      <c r="F189" s="5">
        <f>E189*0.2269</f>
        <v>85669.2716</v>
      </c>
      <c r="G189" s="5">
        <f>F189/D189</f>
        <v>139.52650097719868</v>
      </c>
      <c r="H189" s="4">
        <f>G189*365</f>
        <v>50927.17285667752</v>
      </c>
    </row>
    <row r="190" spans="1:8" ht="12.75">
      <c r="A190" s="11">
        <v>1673</v>
      </c>
      <c r="B190" t="s">
        <v>366</v>
      </c>
      <c r="C190" t="s">
        <v>381</v>
      </c>
      <c r="D190">
        <f>365-27</f>
        <v>338</v>
      </c>
      <c r="E190" s="9">
        <v>208005</v>
      </c>
      <c r="F190" s="5">
        <f>E190*0.2269</f>
        <v>47196.3345</v>
      </c>
      <c r="G190" s="5">
        <f>F190/D190</f>
        <v>139.63412573964496</v>
      </c>
      <c r="H190" s="4">
        <f>G190*365</f>
        <v>50966.45589497041</v>
      </c>
    </row>
    <row r="191" spans="1:8" ht="12.75">
      <c r="A191" s="11">
        <v>1674</v>
      </c>
      <c r="B191" t="s">
        <v>380</v>
      </c>
      <c r="C191" t="s">
        <v>459</v>
      </c>
      <c r="D191">
        <f>365+26+31+31+30+22</f>
        <v>505</v>
      </c>
      <c r="E191" s="9">
        <v>310309</v>
      </c>
      <c r="F191" s="5">
        <f>E191*0.2269</f>
        <v>70409.1121</v>
      </c>
      <c r="G191" s="5">
        <f>F191/D191</f>
        <v>139.42398435643565</v>
      </c>
      <c r="H191" s="4">
        <f>G191*365</f>
        <v>50889.754290099016</v>
      </c>
    </row>
    <row r="192" spans="1:8" ht="12.75">
      <c r="A192" s="11">
        <v>1675</v>
      </c>
      <c r="B192" t="s">
        <v>459</v>
      </c>
      <c r="C192" t="s">
        <v>456</v>
      </c>
      <c r="D192">
        <f>365+9+30</f>
        <v>404</v>
      </c>
      <c r="E192" s="9">
        <v>229683</v>
      </c>
      <c r="F192" s="5">
        <f>E192*0.2269</f>
        <v>52115.0727</v>
      </c>
      <c r="G192" s="5">
        <f>F192/D192</f>
        <v>128.99770470297028</v>
      </c>
      <c r="H192" s="4">
        <f>G192*365</f>
        <v>47084.162216584155</v>
      </c>
    </row>
    <row r="193" spans="1:8" ht="12.75">
      <c r="A193" s="11"/>
      <c r="E193" s="9"/>
      <c r="F193" s="5"/>
      <c r="G193" s="5"/>
      <c r="H193" s="4"/>
    </row>
    <row r="194" spans="1:8" ht="12.75">
      <c r="A194" s="11" t="s">
        <v>110</v>
      </c>
      <c r="E194" s="9"/>
      <c r="F194" s="5"/>
      <c r="G194" s="5"/>
      <c r="H194" s="4">
        <f>SUM(H188:H193)/5</f>
        <v>50404.28998903996</v>
      </c>
    </row>
    <row r="195" spans="1:8" ht="12.75">
      <c r="A195" s="11"/>
      <c r="E195" s="9"/>
      <c r="F195" s="5"/>
      <c r="G195" s="5"/>
      <c r="H195" s="4"/>
    </row>
    <row r="196" spans="1:8" ht="12.75">
      <c r="A196" s="11">
        <v>1676</v>
      </c>
      <c r="B196" t="s">
        <v>459</v>
      </c>
      <c r="C196" t="s">
        <v>456</v>
      </c>
      <c r="D196">
        <f>365+9+30</f>
        <v>404</v>
      </c>
      <c r="E196" s="9">
        <v>229683</v>
      </c>
      <c r="F196" s="5">
        <f>E196*0.2269</f>
        <v>52115.0727</v>
      </c>
      <c r="G196" s="5">
        <f>F196/D196</f>
        <v>128.99770470297028</v>
      </c>
      <c r="H196" s="4">
        <f>G196*365</f>
        <v>47084.162216584155</v>
      </c>
    </row>
    <row r="197" spans="1:8" ht="12.75">
      <c r="A197" s="11">
        <v>1677</v>
      </c>
      <c r="B197" t="s">
        <v>259</v>
      </c>
      <c r="C197" t="s">
        <v>414</v>
      </c>
      <c r="D197">
        <f>365+30+31+28+31+30+11</f>
        <v>526</v>
      </c>
      <c r="E197" s="9">
        <v>405537</v>
      </c>
      <c r="F197" s="5">
        <f>E197*0.2269</f>
        <v>92016.3453</v>
      </c>
      <c r="G197" s="5">
        <f>F197/D197</f>
        <v>174.93601768060836</v>
      </c>
      <c r="H197" s="4">
        <f>G197*365</f>
        <v>63851.64645342205</v>
      </c>
    </row>
    <row r="198" spans="1:8" ht="12.75">
      <c r="A198" s="11">
        <v>1678</v>
      </c>
      <c r="B198" t="s">
        <v>415</v>
      </c>
      <c r="C198" t="s">
        <v>369</v>
      </c>
      <c r="D198">
        <f>365+19+30+31</f>
        <v>445</v>
      </c>
      <c r="E198" s="9">
        <v>325801</v>
      </c>
      <c r="F198" s="5">
        <f>E198*0.2269</f>
        <v>73924.2469</v>
      </c>
      <c r="G198" s="5">
        <f>F198/D198</f>
        <v>166.1219031460674</v>
      </c>
      <c r="H198" s="4">
        <f>G198*365</f>
        <v>60634.494648314605</v>
      </c>
    </row>
    <row r="199" spans="1:8" ht="12.75">
      <c r="A199" s="11">
        <v>1679</v>
      </c>
      <c r="B199" t="s">
        <v>236</v>
      </c>
      <c r="C199" t="s">
        <v>378</v>
      </c>
      <c r="D199">
        <f>365-31</f>
        <v>334</v>
      </c>
      <c r="E199" s="9">
        <v>279403</v>
      </c>
      <c r="F199" s="5">
        <f>E199*0.2269</f>
        <v>63396.5407</v>
      </c>
      <c r="G199" s="5">
        <f>F199/D199</f>
        <v>189.8100020958084</v>
      </c>
      <c r="H199" s="4">
        <f>G199*365</f>
        <v>69280.65076497007</v>
      </c>
    </row>
    <row r="200" spans="1:8" ht="12.75">
      <c r="A200" s="11">
        <v>1680</v>
      </c>
      <c r="B200" t="s">
        <v>366</v>
      </c>
      <c r="C200" t="s">
        <v>379</v>
      </c>
      <c r="D200">
        <v>365</v>
      </c>
      <c r="E200" s="9">
        <v>351910</v>
      </c>
      <c r="F200" s="5">
        <f>E200*0.2269</f>
        <v>79848.379</v>
      </c>
      <c r="G200" s="5">
        <f>F200/D200</f>
        <v>218.7626821917808</v>
      </c>
      <c r="H200" s="4">
        <f>G200*365</f>
        <v>79848.379</v>
      </c>
    </row>
    <row r="201" spans="1:8" ht="12.75">
      <c r="A201" s="11"/>
      <c r="E201" s="9"/>
      <c r="F201" s="5"/>
      <c r="G201" s="5"/>
      <c r="H201" s="4"/>
    </row>
    <row r="202" spans="1:8" ht="12.75">
      <c r="A202" s="11" t="s">
        <v>112</v>
      </c>
      <c r="E202" s="9"/>
      <c r="F202" s="5"/>
      <c r="G202" s="5"/>
      <c r="H202" s="4">
        <f>SUM(H196:H201)/5</f>
        <v>64139.86661665818</v>
      </c>
    </row>
    <row r="203" spans="1:8" ht="12.75">
      <c r="A203" s="11"/>
      <c r="E203" s="9"/>
      <c r="F203" s="5"/>
      <c r="G203" s="5"/>
      <c r="H203" s="4"/>
    </row>
    <row r="204" spans="1:8" ht="12.75">
      <c r="A204" s="11">
        <v>1681</v>
      </c>
      <c r="B204" t="s">
        <v>366</v>
      </c>
      <c r="C204" t="s">
        <v>374</v>
      </c>
      <c r="D204">
        <v>365</v>
      </c>
      <c r="E204" s="9">
        <v>222992</v>
      </c>
      <c r="F204" s="5">
        <f>E204*0.2269</f>
        <v>50596.8848</v>
      </c>
      <c r="G204" s="5">
        <f>F204/D204</f>
        <v>138.62160219178082</v>
      </c>
      <c r="H204" s="4">
        <f>G204*365</f>
        <v>50596.8848</v>
      </c>
    </row>
    <row r="205" spans="1:8" ht="12.75">
      <c r="A205" s="11">
        <v>1682</v>
      </c>
      <c r="B205" t="s">
        <v>447</v>
      </c>
      <c r="C205" t="s">
        <v>447</v>
      </c>
      <c r="E205" s="9"/>
      <c r="F205" s="5">
        <f>E205*0.2269</f>
        <v>0</v>
      </c>
      <c r="G205" s="5">
        <v>0</v>
      </c>
      <c r="H205" s="4">
        <f>(H204+H207)/2</f>
        <v>40963.85634756554</v>
      </c>
    </row>
    <row r="206" spans="1:8" ht="12.75">
      <c r="A206" s="11">
        <v>1683</v>
      </c>
      <c r="B206" t="s">
        <v>447</v>
      </c>
      <c r="C206" t="s">
        <v>447</v>
      </c>
      <c r="E206" s="9"/>
      <c r="F206" s="5">
        <f>E206*0.2269</f>
        <v>0</v>
      </c>
      <c r="G206" s="5">
        <v>0</v>
      </c>
      <c r="H206" s="4">
        <v>40963.85634756554</v>
      </c>
    </row>
    <row r="207" spans="1:8" ht="12.75">
      <c r="A207" s="11">
        <v>1684</v>
      </c>
      <c r="B207" t="s">
        <v>349</v>
      </c>
      <c r="C207" t="s">
        <v>510</v>
      </c>
      <c r="D207">
        <f>365-(6+31+30+31)</f>
        <v>267</v>
      </c>
      <c r="E207" s="9">
        <v>101008</v>
      </c>
      <c r="F207" s="5">
        <f>E207*0.2269</f>
        <v>22918.7152</v>
      </c>
      <c r="G207" s="5">
        <f>F207/D207</f>
        <v>85.83788464419476</v>
      </c>
      <c r="H207" s="4">
        <f>G207*365</f>
        <v>31330.827895131086</v>
      </c>
    </row>
    <row r="208" spans="1:8" ht="12.75">
      <c r="A208" s="11">
        <v>1685</v>
      </c>
      <c r="B208" t="s">
        <v>511</v>
      </c>
      <c r="C208" t="s">
        <v>265</v>
      </c>
      <c r="D208">
        <f>365+31+30+31</f>
        <v>457</v>
      </c>
      <c r="E208" s="9">
        <v>139398</v>
      </c>
      <c r="F208" s="5">
        <f>E208*0.2269</f>
        <v>31629.406199999998</v>
      </c>
      <c r="G208" s="5">
        <f>F208/D208</f>
        <v>69.2109544857768</v>
      </c>
      <c r="H208" s="4">
        <f>G208*365</f>
        <v>25261.99838730853</v>
      </c>
    </row>
    <row r="209" spans="1:8" ht="12.75">
      <c r="A209" s="11"/>
      <c r="E209" s="9"/>
      <c r="F209" s="5"/>
      <c r="G209" s="5"/>
      <c r="H209" s="4"/>
    </row>
    <row r="210" spans="1:8" ht="12.75">
      <c r="A210" s="11" t="s">
        <v>113</v>
      </c>
      <c r="E210" s="9"/>
      <c r="F210" s="5"/>
      <c r="G210" s="5"/>
      <c r="H210" s="4">
        <f>SUM(H204:H209)/5</f>
        <v>37823.48475551414</v>
      </c>
    </row>
    <row r="211" spans="1:8" ht="12.75">
      <c r="A211" s="11"/>
      <c r="E211" s="9"/>
      <c r="F211" s="5"/>
      <c r="G211" s="5"/>
      <c r="H211" s="4"/>
    </row>
    <row r="212" spans="1:8" ht="12.75">
      <c r="A212" s="11">
        <v>1686</v>
      </c>
      <c r="B212" t="s">
        <v>349</v>
      </c>
      <c r="C212" t="s">
        <v>399</v>
      </c>
      <c r="D212">
        <f>365+31+28+29</f>
        <v>453</v>
      </c>
      <c r="E212" s="9">
        <v>167179</v>
      </c>
      <c r="F212" s="5">
        <f>E212*0.2269</f>
        <v>37932.9151</v>
      </c>
      <c r="G212" s="5">
        <f>F212/D212</f>
        <v>83.73711942604857</v>
      </c>
      <c r="H212" s="4">
        <f>G212*365</f>
        <v>30564.048590507726</v>
      </c>
    </row>
    <row r="213" spans="1:8" ht="12.75">
      <c r="A213" s="11">
        <v>1687</v>
      </c>
      <c r="B213" t="s">
        <v>234</v>
      </c>
      <c r="C213" t="s">
        <v>394</v>
      </c>
      <c r="D213">
        <f>365-(19+5)</f>
        <v>341</v>
      </c>
      <c r="E213" s="9">
        <v>145394</v>
      </c>
      <c r="F213" s="5">
        <f>E213*0.2269</f>
        <v>32989.8986</v>
      </c>
      <c r="G213" s="5">
        <f>F213/D213</f>
        <v>96.74457067448681</v>
      </c>
      <c r="H213" s="4">
        <f>G213*365</f>
        <v>35311.768296187685</v>
      </c>
    </row>
    <row r="214" spans="1:8" ht="12.75">
      <c r="A214" s="11">
        <v>1688</v>
      </c>
      <c r="B214" t="s">
        <v>395</v>
      </c>
      <c r="C214" t="s">
        <v>411</v>
      </c>
      <c r="D214">
        <f>365+15+30</f>
        <v>410</v>
      </c>
      <c r="E214" s="9">
        <v>143848</v>
      </c>
      <c r="F214" s="5">
        <f>E214*0.2269</f>
        <v>32639.1112</v>
      </c>
      <c r="G214" s="5">
        <f>F214/D214</f>
        <v>79.60758829268292</v>
      </c>
      <c r="H214" s="4">
        <f>G214*365</f>
        <v>29056.769726829265</v>
      </c>
    </row>
    <row r="215" spans="1:8" ht="12.75">
      <c r="A215" s="11">
        <v>1689</v>
      </c>
      <c r="B215" t="s">
        <v>419</v>
      </c>
      <c r="C215" t="s">
        <v>224</v>
      </c>
      <c r="D215">
        <f>365-12</f>
        <v>353</v>
      </c>
      <c r="E215" s="9">
        <v>142638</v>
      </c>
      <c r="F215" s="5">
        <f>E215*0.2269</f>
        <v>32364.5622</v>
      </c>
      <c r="G215" s="5">
        <f>F215/D215</f>
        <v>91.68431218130311</v>
      </c>
      <c r="H215" s="4">
        <f>G215*365</f>
        <v>33464.773946175636</v>
      </c>
    </row>
    <row r="216" spans="1:8" ht="12.75">
      <c r="A216" s="11">
        <v>1690</v>
      </c>
      <c r="B216" t="s">
        <v>215</v>
      </c>
      <c r="C216" t="s">
        <v>294</v>
      </c>
      <c r="D216">
        <f>(365*2)-(4+31+20)</f>
        <v>675</v>
      </c>
      <c r="E216" s="9">
        <v>223504</v>
      </c>
      <c r="F216" s="5">
        <f>E216*0.2269</f>
        <v>50713.0576</v>
      </c>
      <c r="G216" s="5">
        <f>F216/D216</f>
        <v>75.1304557037037</v>
      </c>
      <c r="H216" s="4">
        <f>G216*365</f>
        <v>27422.616331851852</v>
      </c>
    </row>
    <row r="217" spans="1:8" ht="12.75">
      <c r="A217" s="11"/>
      <c r="E217" s="9"/>
      <c r="F217" s="5"/>
      <c r="G217" s="5"/>
      <c r="H217" s="4"/>
    </row>
    <row r="218" spans="1:8" ht="12.75">
      <c r="A218" s="11" t="s">
        <v>115</v>
      </c>
      <c r="E218" s="9"/>
      <c r="F218" s="5"/>
      <c r="G218" s="5"/>
      <c r="H218" s="4">
        <f>SUM(H212:H217)/5</f>
        <v>31163.995378310432</v>
      </c>
    </row>
    <row r="219" spans="1:8" ht="12.75">
      <c r="A219" s="11"/>
      <c r="E219" s="9"/>
      <c r="F219" s="5"/>
      <c r="G219" s="5"/>
      <c r="H219" s="4"/>
    </row>
    <row r="220" spans="1:8" ht="12.75">
      <c r="A220" s="11">
        <v>1691</v>
      </c>
      <c r="B220" t="s">
        <v>215</v>
      </c>
      <c r="C220" t="s">
        <v>294</v>
      </c>
      <c r="D220">
        <f>(365*2)-(4+31+20)</f>
        <v>675</v>
      </c>
      <c r="E220" s="9">
        <v>223504</v>
      </c>
      <c r="F220" s="5">
        <f>E220*0.2269</f>
        <v>50713.0576</v>
      </c>
      <c r="G220" s="5">
        <f>F220/D220</f>
        <v>75.1304557037037</v>
      </c>
      <c r="H220" s="4">
        <f>G220*365</f>
        <v>27422.616331851852</v>
      </c>
    </row>
    <row r="221" spans="1:8" ht="12.75">
      <c r="A221" s="11">
        <v>1692</v>
      </c>
      <c r="B221" t="s">
        <v>295</v>
      </c>
      <c r="C221" t="s">
        <v>233</v>
      </c>
      <c r="D221">
        <f>365+3+31+30</f>
        <v>429</v>
      </c>
      <c r="E221" s="9">
        <v>183407</v>
      </c>
      <c r="F221" s="5">
        <f>E221*0.2269</f>
        <v>41615.048299999995</v>
      </c>
      <c r="G221" s="5">
        <f>F221/D221</f>
        <v>97.00477459207458</v>
      </c>
      <c r="H221" s="4">
        <f>G221*365</f>
        <v>35406.74272610722</v>
      </c>
    </row>
    <row r="222" spans="1:8" ht="12.75">
      <c r="A222" s="11">
        <v>1693</v>
      </c>
      <c r="B222" t="s">
        <v>412</v>
      </c>
      <c r="C222" t="s">
        <v>216</v>
      </c>
      <c r="D222">
        <f>(3*365)-9</f>
        <v>1086</v>
      </c>
      <c r="E222" s="9">
        <v>421743</v>
      </c>
      <c r="F222" s="5">
        <f>E222*0.2269</f>
        <v>95693.4867</v>
      </c>
      <c r="G222" s="5">
        <f>F222/D222</f>
        <v>88.1155494475138</v>
      </c>
      <c r="H222" s="4">
        <f>G222*365</f>
        <v>32162.175548342537</v>
      </c>
    </row>
    <row r="223" spans="1:8" ht="12.75">
      <c r="A223" s="11">
        <v>1694</v>
      </c>
      <c r="B223" t="s">
        <v>412</v>
      </c>
      <c r="C223" t="s">
        <v>216</v>
      </c>
      <c r="D223">
        <f>(3*365)-9</f>
        <v>1086</v>
      </c>
      <c r="E223" s="9">
        <v>421743</v>
      </c>
      <c r="F223" s="5">
        <f>E223*0.2269</f>
        <v>95693.4867</v>
      </c>
      <c r="G223" s="5">
        <f>F223/D223</f>
        <v>88.1155494475138</v>
      </c>
      <c r="H223" s="4">
        <f>G223*365</f>
        <v>32162.175548342537</v>
      </c>
    </row>
    <row r="224" spans="1:8" ht="12.75">
      <c r="A224" s="11">
        <v>1695</v>
      </c>
      <c r="B224" t="s">
        <v>412</v>
      </c>
      <c r="C224" t="s">
        <v>216</v>
      </c>
      <c r="D224">
        <f>(3*365)-9</f>
        <v>1086</v>
      </c>
      <c r="E224" s="9">
        <v>421743</v>
      </c>
      <c r="F224" s="5">
        <f>E224*0.2269</f>
        <v>95693.4867</v>
      </c>
      <c r="G224" s="5">
        <f>F224/D224</f>
        <v>88.1155494475138</v>
      </c>
      <c r="H224" s="4">
        <f>G224*365</f>
        <v>32162.175548342537</v>
      </c>
    </row>
    <row r="225" spans="1:8" ht="12.75">
      <c r="A225" s="11"/>
      <c r="E225" s="9"/>
      <c r="F225" s="5"/>
      <c r="G225" s="5"/>
      <c r="H225" s="4"/>
    </row>
    <row r="226" spans="1:8" ht="12.75">
      <c r="A226" s="11" t="s">
        <v>118</v>
      </c>
      <c r="E226" s="9"/>
      <c r="F226" s="5"/>
      <c r="G226" s="5"/>
      <c r="H226" s="4">
        <f>SUM(H220:H225)/5</f>
        <v>31863.177140597334</v>
      </c>
    </row>
    <row r="227" spans="1:8" ht="12.75">
      <c r="A227" s="11"/>
      <c r="E227" s="9"/>
      <c r="F227" s="5"/>
      <c r="G227" s="5"/>
      <c r="H227" s="4"/>
    </row>
    <row r="228" spans="1:8" ht="12.75">
      <c r="A228" s="11">
        <v>1696</v>
      </c>
      <c r="B228" t="s">
        <v>227</v>
      </c>
      <c r="C228" t="s">
        <v>454</v>
      </c>
      <c r="D228">
        <f>365+8+31+30+31+31+30+31+12</f>
        <v>569</v>
      </c>
      <c r="E228" s="9">
        <v>183584</v>
      </c>
      <c r="F228" s="5">
        <f>E228*0.2269</f>
        <v>41655.209599999995</v>
      </c>
      <c r="G228" s="5">
        <f>F228/D228</f>
        <v>73.2077497363796</v>
      </c>
      <c r="H228" s="4">
        <f>G228*365</f>
        <v>26720.828653778553</v>
      </c>
    </row>
    <row r="229" spans="1:8" ht="12.75">
      <c r="A229" s="11">
        <v>1697</v>
      </c>
      <c r="B229" t="s">
        <v>455</v>
      </c>
      <c r="C229" t="s">
        <v>360</v>
      </c>
      <c r="D229">
        <f>365+15+31+4</f>
        <v>415</v>
      </c>
      <c r="E229" s="9">
        <v>103489</v>
      </c>
      <c r="F229" s="5">
        <f>E229*0.2269</f>
        <v>23481.6541</v>
      </c>
      <c r="G229" s="5">
        <f>F229/D229</f>
        <v>56.582299036144576</v>
      </c>
      <c r="H229" s="4">
        <f>G229*365</f>
        <v>20652.53914819277</v>
      </c>
    </row>
    <row r="230" spans="1:8" ht="12.75">
      <c r="A230" s="11">
        <v>1698</v>
      </c>
      <c r="B230" t="s">
        <v>455</v>
      </c>
      <c r="C230" t="s">
        <v>360</v>
      </c>
      <c r="D230">
        <f>365+15+31+4</f>
        <v>415</v>
      </c>
      <c r="E230" s="9">
        <v>103489</v>
      </c>
      <c r="F230" s="5">
        <f>E230*0.2269</f>
        <v>23481.6541</v>
      </c>
      <c r="G230" s="5">
        <f>F230/D230</f>
        <v>56.582299036144576</v>
      </c>
      <c r="H230" s="4">
        <f>G230*365</f>
        <v>20652.53914819277</v>
      </c>
    </row>
    <row r="231" spans="1:8" ht="12.75">
      <c r="A231" s="11">
        <v>1699</v>
      </c>
      <c r="B231" t="s">
        <v>361</v>
      </c>
      <c r="C231" t="s">
        <v>266</v>
      </c>
      <c r="D231">
        <f>365-5</f>
        <v>360</v>
      </c>
      <c r="E231" s="9">
        <v>138983</v>
      </c>
      <c r="F231" s="5">
        <f>E231*0.2269</f>
        <v>31535.2427</v>
      </c>
      <c r="G231" s="5">
        <f>F231/D231</f>
        <v>87.59789638888888</v>
      </c>
      <c r="H231" s="4">
        <f>G231*365</f>
        <v>31973.232181944444</v>
      </c>
    </row>
    <row r="232" spans="1:8" ht="12.75">
      <c r="A232" s="11">
        <v>1700</v>
      </c>
      <c r="B232" t="s">
        <v>349</v>
      </c>
      <c r="C232" t="s">
        <v>262</v>
      </c>
      <c r="D232">
        <v>365</v>
      </c>
      <c r="E232" s="9">
        <v>142160</v>
      </c>
      <c r="F232" s="5">
        <f>E232*0.2269</f>
        <v>32256.104</v>
      </c>
      <c r="G232" s="5">
        <f>F232/D232</f>
        <v>88.37288767123287</v>
      </c>
      <c r="H232" s="4">
        <f>G232*365</f>
        <v>32256.104</v>
      </c>
    </row>
    <row r="233" spans="1:8" ht="12.75">
      <c r="A233" s="11"/>
      <c r="E233" s="9"/>
      <c r="F233" s="5"/>
      <c r="G233" s="5"/>
      <c r="H233" s="4"/>
    </row>
    <row r="234" spans="1:8" ht="12.75">
      <c r="A234" s="11" t="s">
        <v>120</v>
      </c>
      <c r="E234" s="9"/>
      <c r="F234" s="5"/>
      <c r="G234" s="5"/>
      <c r="H234" s="4">
        <f>SUM(H228:H233)/5</f>
        <v>26451.048626421707</v>
      </c>
    </row>
    <row r="235" spans="1:8" ht="12.75">
      <c r="A235" s="11"/>
      <c r="E235" s="9"/>
      <c r="F235" s="5"/>
      <c r="G235" s="5"/>
      <c r="H235" s="4"/>
    </row>
    <row r="236" spans="1:8" ht="12.75">
      <c r="A236" s="11">
        <v>1701</v>
      </c>
      <c r="B236" t="s">
        <v>349</v>
      </c>
      <c r="C236" t="s">
        <v>262</v>
      </c>
      <c r="D236">
        <v>365</v>
      </c>
      <c r="E236" s="9">
        <v>119768</v>
      </c>
      <c r="F236" s="5">
        <f>E236*0.2269</f>
        <v>27175.3592</v>
      </c>
      <c r="G236" s="5">
        <f>F236/D236</f>
        <v>74.45303890410959</v>
      </c>
      <c r="H236" s="4">
        <f>G236*365</f>
        <v>27175.3592</v>
      </c>
    </row>
    <row r="237" spans="1:8" ht="12.75">
      <c r="A237" s="11">
        <v>1702</v>
      </c>
      <c r="B237" t="s">
        <v>349</v>
      </c>
      <c r="C237" t="s">
        <v>262</v>
      </c>
      <c r="D237">
        <v>365</v>
      </c>
      <c r="E237" s="9">
        <v>130000</v>
      </c>
      <c r="F237" s="5">
        <f>E237*0.2269</f>
        <v>29497</v>
      </c>
      <c r="G237" s="5">
        <f>F237/D237</f>
        <v>80.81369863013698</v>
      </c>
      <c r="H237" s="4">
        <f>G237*365</f>
        <v>29497</v>
      </c>
    </row>
    <row r="238" spans="1:8" ht="12.75">
      <c r="A238" s="11">
        <v>1703</v>
      </c>
      <c r="B238" t="s">
        <v>349</v>
      </c>
      <c r="C238" t="s">
        <v>262</v>
      </c>
      <c r="D238">
        <v>365</v>
      </c>
      <c r="E238" s="9"/>
      <c r="F238" s="5">
        <f>E238*0.2269</f>
        <v>0</v>
      </c>
      <c r="G238" s="5">
        <f>F238/D238</f>
        <v>0</v>
      </c>
      <c r="H238" s="4">
        <f>(H237+H239)/2</f>
        <v>30234.425</v>
      </c>
    </row>
    <row r="239" spans="1:8" ht="12.75">
      <c r="A239" s="11">
        <v>1704</v>
      </c>
      <c r="B239" t="s">
        <v>349</v>
      </c>
      <c r="C239" t="s">
        <v>262</v>
      </c>
      <c r="D239">
        <v>365</v>
      </c>
      <c r="E239" s="9">
        <v>136500</v>
      </c>
      <c r="F239" s="5">
        <f>E239*0.2269</f>
        <v>30971.85</v>
      </c>
      <c r="G239" s="5">
        <f>F239/D239</f>
        <v>84.85438356164383</v>
      </c>
      <c r="H239" s="4">
        <f>G239*365</f>
        <v>30971.85</v>
      </c>
    </row>
    <row r="240" spans="1:8" ht="12.75">
      <c r="A240" s="11">
        <v>1705</v>
      </c>
      <c r="B240" t="s">
        <v>349</v>
      </c>
      <c r="C240" t="s">
        <v>262</v>
      </c>
      <c r="D240">
        <v>365</v>
      </c>
      <c r="E240" s="9">
        <v>179450</v>
      </c>
      <c r="F240" s="5">
        <f>E240*0.2269</f>
        <v>40717.205</v>
      </c>
      <c r="G240" s="5">
        <f>F240/D240</f>
        <v>111.55398630136986</v>
      </c>
      <c r="H240" s="4">
        <f>G240*365</f>
        <v>40717.205</v>
      </c>
    </row>
    <row r="241" spans="1:8" ht="12.75">
      <c r="A241" s="11"/>
      <c r="E241" s="9"/>
      <c r="F241" s="5"/>
      <c r="G241" s="5"/>
      <c r="H241" s="4"/>
    </row>
    <row r="242" spans="1:8" ht="12.75">
      <c r="A242" s="11" t="s">
        <v>123</v>
      </c>
      <c r="E242" s="9"/>
      <c r="F242" s="5"/>
      <c r="G242" s="5"/>
      <c r="H242" s="4">
        <f>SUM(H236:H241)/5</f>
        <v>31719.16784</v>
      </c>
    </row>
    <row r="243" spans="1:8" ht="12.75">
      <c r="A243" s="11"/>
      <c r="E243" s="9"/>
      <c r="F243" s="5"/>
      <c r="G243" s="5"/>
      <c r="H243" s="4"/>
    </row>
    <row r="244" spans="1:8" ht="12.75">
      <c r="A244" s="11">
        <v>1706</v>
      </c>
      <c r="B244" t="s">
        <v>349</v>
      </c>
      <c r="C244" t="s">
        <v>262</v>
      </c>
      <c r="D244">
        <v>365</v>
      </c>
      <c r="E244" s="9">
        <v>139000</v>
      </c>
      <c r="F244" s="5">
        <f>E244*0.2269</f>
        <v>31539.1</v>
      </c>
      <c r="G244" s="5">
        <f>F244/D244</f>
        <v>86.40849315068493</v>
      </c>
      <c r="H244" s="4">
        <f>G244*365</f>
        <v>31539.100000000002</v>
      </c>
    </row>
    <row r="245" spans="1:8" ht="12.75">
      <c r="A245" s="11">
        <v>1707</v>
      </c>
      <c r="B245" t="s">
        <v>349</v>
      </c>
      <c r="C245" t="s">
        <v>262</v>
      </c>
      <c r="D245">
        <v>365</v>
      </c>
      <c r="E245" s="9">
        <v>135000</v>
      </c>
      <c r="F245" s="5">
        <f>E245*0.2269</f>
        <v>30631.5</v>
      </c>
      <c r="G245" s="5">
        <f>F245/D245</f>
        <v>83.92191780821918</v>
      </c>
      <c r="H245" s="4">
        <f>G245*365</f>
        <v>30631.5</v>
      </c>
    </row>
    <row r="246" spans="1:8" ht="12.75">
      <c r="A246" s="11">
        <v>1708</v>
      </c>
      <c r="B246" t="s">
        <v>349</v>
      </c>
      <c r="C246" t="s">
        <v>262</v>
      </c>
      <c r="D246">
        <v>365</v>
      </c>
      <c r="E246" s="9">
        <v>156000</v>
      </c>
      <c r="F246" s="5">
        <f>E246*0.2269</f>
        <v>35396.4</v>
      </c>
      <c r="G246" s="5">
        <f>F246/D246</f>
        <v>96.9764383561644</v>
      </c>
      <c r="H246" s="4">
        <f>G246*365</f>
        <v>35396.4</v>
      </c>
    </row>
    <row r="247" spans="1:8" ht="12.75">
      <c r="A247" s="11">
        <v>1709</v>
      </c>
      <c r="B247" t="s">
        <v>349</v>
      </c>
      <c r="C247" t="s">
        <v>262</v>
      </c>
      <c r="D247">
        <v>365</v>
      </c>
      <c r="E247" s="9">
        <v>184000</v>
      </c>
      <c r="F247" s="5">
        <f>E247*0.2269</f>
        <v>41749.6</v>
      </c>
      <c r="G247" s="5">
        <f>F247/D247</f>
        <v>114.38246575342465</v>
      </c>
      <c r="H247" s="4">
        <f>G247*365</f>
        <v>41749.6</v>
      </c>
    </row>
    <row r="248" spans="1:8" ht="12.75">
      <c r="A248" s="11">
        <v>1710</v>
      </c>
      <c r="B248" t="s">
        <v>349</v>
      </c>
      <c r="C248" t="s">
        <v>262</v>
      </c>
      <c r="D248">
        <v>365</v>
      </c>
      <c r="E248" s="9">
        <v>196000</v>
      </c>
      <c r="F248" s="5">
        <f>E248*0.2269</f>
        <v>44472.4</v>
      </c>
      <c r="G248" s="5">
        <f>F248/D248</f>
        <v>121.84219178082192</v>
      </c>
      <c r="H248" s="4">
        <f>G248*365</f>
        <v>44472.4</v>
      </c>
    </row>
    <row r="249" spans="1:8" ht="12.75">
      <c r="A249" s="11"/>
      <c r="E249" s="9"/>
      <c r="F249" s="5"/>
      <c r="G249" s="5"/>
      <c r="H249" s="4"/>
    </row>
    <row r="250" spans="1:8" ht="12.75">
      <c r="A250" s="11" t="s">
        <v>126</v>
      </c>
      <c r="E250" s="9"/>
      <c r="F250" s="5"/>
      <c r="G250" s="5"/>
      <c r="H250" s="4">
        <f>SUM(H244:H249)/5</f>
        <v>36757.8</v>
      </c>
    </row>
    <row r="251" spans="1:8" ht="12.75">
      <c r="A251" s="11"/>
      <c r="E251" s="9"/>
      <c r="F251" s="5"/>
      <c r="G251" s="5"/>
      <c r="H251" s="4"/>
    </row>
    <row r="252" spans="1:8" ht="12.75">
      <c r="A252" s="11">
        <v>1711</v>
      </c>
      <c r="B252" t="s">
        <v>349</v>
      </c>
      <c r="C252" t="s">
        <v>262</v>
      </c>
      <c r="D252">
        <v>365</v>
      </c>
      <c r="E252" s="9">
        <v>229000</v>
      </c>
      <c r="F252" s="5">
        <f>E252*0.2269</f>
        <v>51960.1</v>
      </c>
      <c r="G252" s="5">
        <f>F252/D252</f>
        <v>142.35643835616438</v>
      </c>
      <c r="H252" s="4">
        <f>G252*365</f>
        <v>51960.1</v>
      </c>
    </row>
    <row r="253" spans="1:8" ht="12.75">
      <c r="A253" s="11">
        <v>1712</v>
      </c>
      <c r="B253" t="s">
        <v>349</v>
      </c>
      <c r="C253" t="s">
        <v>262</v>
      </c>
      <c r="D253">
        <v>365</v>
      </c>
      <c r="E253" s="9">
        <v>174000</v>
      </c>
      <c r="F253" s="5">
        <f>E253*0.2269</f>
        <v>39480.6</v>
      </c>
      <c r="G253" s="5">
        <f>F253/D253</f>
        <v>108.16602739726027</v>
      </c>
      <c r="H253" s="4">
        <f>G253*365</f>
        <v>39480.6</v>
      </c>
    </row>
    <row r="254" spans="1:8" ht="12.75">
      <c r="A254" s="11">
        <v>1713</v>
      </c>
      <c r="B254" t="s">
        <v>349</v>
      </c>
      <c r="C254" t="s">
        <v>262</v>
      </c>
      <c r="D254">
        <v>365</v>
      </c>
      <c r="E254" s="9">
        <v>185000</v>
      </c>
      <c r="F254" s="5">
        <f>E254*0.2269</f>
        <v>41976.5</v>
      </c>
      <c r="G254" s="5">
        <f>F254/D254</f>
        <v>115.0041095890411</v>
      </c>
      <c r="H254" s="4">
        <f>G254*365</f>
        <v>41976.5</v>
      </c>
    </row>
    <row r="255" spans="1:8" ht="12.75">
      <c r="A255" s="11">
        <v>1714</v>
      </c>
      <c r="B255" t="s">
        <v>349</v>
      </c>
      <c r="C255" t="s">
        <v>262</v>
      </c>
      <c r="D255">
        <v>365</v>
      </c>
      <c r="E255" s="9">
        <v>157000</v>
      </c>
      <c r="F255" s="5">
        <f>E255*0.2269</f>
        <v>35623.299999999996</v>
      </c>
      <c r="G255" s="5">
        <f>F255/D255</f>
        <v>97.5980821917808</v>
      </c>
      <c r="H255" s="4">
        <f>G255*365</f>
        <v>35623.299999999996</v>
      </c>
    </row>
    <row r="256" spans="1:8" ht="12.75">
      <c r="A256" s="11">
        <v>1715</v>
      </c>
      <c r="B256" t="s">
        <v>349</v>
      </c>
      <c r="C256" t="s">
        <v>262</v>
      </c>
      <c r="D256">
        <v>365</v>
      </c>
      <c r="E256" s="9"/>
      <c r="F256" s="5">
        <f>E256*0.2269</f>
        <v>0</v>
      </c>
      <c r="G256" s="5">
        <f>F256/D256</f>
        <v>0</v>
      </c>
      <c r="H256" s="4">
        <f>(H255+H260)/2</f>
        <v>45266.549999999996</v>
      </c>
    </row>
    <row r="257" spans="1:8" ht="12.75">
      <c r="A257" s="11"/>
      <c r="E257" s="9"/>
      <c r="F257" s="5"/>
      <c r="G257" s="5"/>
      <c r="H257" s="4"/>
    </row>
    <row r="258" spans="1:8" ht="12.75">
      <c r="A258" s="11" t="s">
        <v>129</v>
      </c>
      <c r="E258" s="9"/>
      <c r="F258" s="5"/>
      <c r="G258" s="5"/>
      <c r="H258" s="4">
        <f>SUM(H252:H257)/5</f>
        <v>42861.409999999996</v>
      </c>
    </row>
    <row r="259" spans="1:8" ht="12.75">
      <c r="A259" s="11"/>
      <c r="E259" s="9"/>
      <c r="F259" s="5"/>
      <c r="G259" s="5"/>
      <c r="H259" s="4"/>
    </row>
    <row r="260" spans="1:8" ht="12.75">
      <c r="A260" s="11">
        <v>1716</v>
      </c>
      <c r="B260" t="s">
        <v>349</v>
      </c>
      <c r="C260" t="s">
        <v>262</v>
      </c>
      <c r="D260">
        <v>365</v>
      </c>
      <c r="E260" s="9">
        <v>242000</v>
      </c>
      <c r="F260" s="5">
        <f>E260*0.2269</f>
        <v>54909.799999999996</v>
      </c>
      <c r="G260" s="5">
        <f>F260/D260</f>
        <v>150.43780821917807</v>
      </c>
      <c r="H260" s="4">
        <f>G260*365</f>
        <v>54909.799999999996</v>
      </c>
    </row>
    <row r="261" spans="1:8" ht="12.75">
      <c r="A261" s="11">
        <v>1717</v>
      </c>
      <c r="B261" t="s">
        <v>349</v>
      </c>
      <c r="C261" t="s">
        <v>262</v>
      </c>
      <c r="D261">
        <v>365</v>
      </c>
      <c r="E261" s="9">
        <v>236000</v>
      </c>
      <c r="F261" s="5">
        <f>E261*0.2269</f>
        <v>53548.399999999994</v>
      </c>
      <c r="G261" s="5">
        <f>F261/D261</f>
        <v>146.70794520547943</v>
      </c>
      <c r="H261" s="4">
        <f>G261*365</f>
        <v>53548.399999999994</v>
      </c>
    </row>
    <row r="262" spans="1:8" ht="12.75">
      <c r="A262" s="11">
        <v>1718</v>
      </c>
      <c r="B262" t="s">
        <v>349</v>
      </c>
      <c r="C262" t="s">
        <v>262</v>
      </c>
      <c r="D262">
        <v>365</v>
      </c>
      <c r="E262" s="9">
        <v>257000</v>
      </c>
      <c r="F262" s="5">
        <f>E262*0.2269</f>
        <v>58313.299999999996</v>
      </c>
      <c r="G262" s="5">
        <f>F262/D262</f>
        <v>159.76246575342464</v>
      </c>
      <c r="H262" s="4">
        <f>G262*365</f>
        <v>58313.29999999999</v>
      </c>
    </row>
    <row r="263" spans="1:8" ht="12.75">
      <c r="A263" s="11">
        <v>1719</v>
      </c>
      <c r="B263" t="s">
        <v>349</v>
      </c>
      <c r="C263" t="s">
        <v>262</v>
      </c>
      <c r="D263">
        <v>365</v>
      </c>
      <c r="E263" s="9">
        <v>274000</v>
      </c>
      <c r="F263" s="5">
        <f>E263*0.2269</f>
        <v>62170.6</v>
      </c>
      <c r="G263" s="5">
        <f>F263/D263</f>
        <v>170.3304109589041</v>
      </c>
      <c r="H263" s="4">
        <f>G263*365</f>
        <v>62170.6</v>
      </c>
    </row>
    <row r="264" spans="1:8" ht="12.75">
      <c r="A264" s="11">
        <v>1720</v>
      </c>
      <c r="B264" t="s">
        <v>349</v>
      </c>
      <c r="C264" t="s">
        <v>262</v>
      </c>
      <c r="D264">
        <v>365</v>
      </c>
      <c r="E264" s="9">
        <v>275000</v>
      </c>
      <c r="F264" s="5">
        <f>E264*0.2269</f>
        <v>62397.5</v>
      </c>
      <c r="G264" s="5">
        <f>F264/D264</f>
        <v>170.95205479452054</v>
      </c>
      <c r="H264" s="4">
        <f>G264*365</f>
        <v>62397.49999999999</v>
      </c>
    </row>
    <row r="265" spans="1:8" ht="12.75">
      <c r="A265" s="11"/>
      <c r="E265" s="9"/>
      <c r="F265" s="5"/>
      <c r="G265" s="5"/>
      <c r="H265" s="4"/>
    </row>
    <row r="266" spans="1:8" ht="12.75">
      <c r="A266" s="11" t="s">
        <v>132</v>
      </c>
      <c r="H266" s="4">
        <f>SUM(H260:H265)/5</f>
        <v>58267.92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H39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10.28125" style="0" customWidth="1"/>
    <col min="2" max="2" width="13.28125" style="0" customWidth="1"/>
    <col min="8" max="8" width="10.57421875" style="0" customWidth="1"/>
  </cols>
  <sheetData>
    <row r="1" spans="1:7" ht="12.75">
      <c r="A1" s="11"/>
      <c r="B1" s="1" t="s">
        <v>580</v>
      </c>
      <c r="E1" s="9"/>
      <c r="F1" s="5"/>
      <c r="G1" s="5"/>
    </row>
    <row r="2" spans="1:7" ht="12.75">
      <c r="A2" s="11"/>
      <c r="B2" s="10" t="s">
        <v>6</v>
      </c>
      <c r="E2" s="9"/>
      <c r="F2" s="5"/>
      <c r="G2" s="5"/>
    </row>
    <row r="3" spans="1:2" ht="12.75">
      <c r="A3" s="11"/>
      <c r="B3" s="4"/>
    </row>
    <row r="4" spans="1:2" ht="12.75">
      <c r="A4" s="11" t="s">
        <v>575</v>
      </c>
      <c r="B4" s="4" t="s">
        <v>428</v>
      </c>
    </row>
    <row r="5" spans="1:2" ht="12.75">
      <c r="A5" s="11"/>
      <c r="B5" s="4" t="s">
        <v>283</v>
      </c>
    </row>
    <row r="6" spans="1:2" ht="12.75">
      <c r="A6" s="11"/>
      <c r="B6" s="4"/>
    </row>
    <row r="7" spans="1:2" ht="12.75">
      <c r="A7" s="11" t="s">
        <v>69</v>
      </c>
      <c r="B7" s="5">
        <v>21294.67845</v>
      </c>
    </row>
    <row r="8" spans="1:2" ht="12.75">
      <c r="A8" s="11" t="s">
        <v>70</v>
      </c>
      <c r="B8" s="5">
        <v>27761.39652</v>
      </c>
    </row>
    <row r="9" spans="1:2" ht="12.75">
      <c r="A9" s="11" t="s">
        <v>72</v>
      </c>
      <c r="B9" s="5">
        <v>31498.076479999996</v>
      </c>
    </row>
    <row r="10" spans="1:2" ht="12.75">
      <c r="A10" s="11" t="s">
        <v>73</v>
      </c>
      <c r="B10" s="5">
        <v>35925.21314</v>
      </c>
    </row>
    <row r="11" spans="1:2" ht="12.75">
      <c r="A11" s="11" t="s">
        <v>75</v>
      </c>
      <c r="B11" s="5">
        <v>30389.37501</v>
      </c>
    </row>
    <row r="12" spans="1:2" ht="12.75">
      <c r="A12" s="11" t="s">
        <v>76</v>
      </c>
      <c r="B12" s="5">
        <v>27613.049299999995</v>
      </c>
    </row>
    <row r="13" spans="1:2" ht="12.75">
      <c r="A13" s="11" t="s">
        <v>78</v>
      </c>
      <c r="B13" s="5">
        <v>28413.39977637394</v>
      </c>
    </row>
    <row r="14" spans="1:2" ht="12.75">
      <c r="A14" s="11" t="s">
        <v>82</v>
      </c>
      <c r="B14" s="5">
        <v>27002.86982</v>
      </c>
    </row>
    <row r="15" spans="1:2" ht="12.75">
      <c r="A15" s="11" t="s">
        <v>84</v>
      </c>
      <c r="B15" s="5">
        <v>24005.39814595887</v>
      </c>
    </row>
    <row r="16" spans="1:2" ht="12.75">
      <c r="A16" s="11" t="s">
        <v>86</v>
      </c>
      <c r="B16" s="5">
        <v>29736.3795</v>
      </c>
    </row>
    <row r="17" spans="1:2" ht="12.75">
      <c r="A17" s="11" t="s">
        <v>88</v>
      </c>
      <c r="B17" s="5">
        <v>34121.26738</v>
      </c>
    </row>
    <row r="18" spans="1:2" ht="12.75">
      <c r="A18" s="11" t="s">
        <v>89</v>
      </c>
      <c r="B18" s="5">
        <v>47517.24326819384</v>
      </c>
    </row>
    <row r="19" spans="1:2" ht="12.75">
      <c r="A19" s="11" t="s">
        <v>91</v>
      </c>
      <c r="B19" s="5">
        <v>48213.16416</v>
      </c>
    </row>
    <row r="20" spans="1:2" ht="12.75">
      <c r="A20" s="11" t="s">
        <v>93</v>
      </c>
      <c r="B20" s="5">
        <v>55609.74112</v>
      </c>
    </row>
    <row r="21" spans="1:2" ht="12.75">
      <c r="A21" s="11" t="s">
        <v>95</v>
      </c>
      <c r="B21" s="5">
        <v>47861.74144</v>
      </c>
    </row>
    <row r="22" spans="1:2" ht="12.75">
      <c r="A22" s="11" t="s">
        <v>96</v>
      </c>
      <c r="B22" s="5">
        <v>47934.530960000004</v>
      </c>
    </row>
    <row r="23" spans="1:2" ht="12.75">
      <c r="A23" s="11" t="s">
        <v>98</v>
      </c>
      <c r="B23" s="5">
        <v>31044.37810017094</v>
      </c>
    </row>
    <row r="24" spans="1:2" ht="12.75">
      <c r="A24" s="11" t="s">
        <v>99</v>
      </c>
      <c r="B24" s="5">
        <v>28101.06992444204</v>
      </c>
    </row>
    <row r="25" spans="1:2" ht="12.75">
      <c r="A25" s="11" t="s">
        <v>101</v>
      </c>
      <c r="B25" s="5">
        <v>30215.72069652989</v>
      </c>
    </row>
    <row r="26" spans="1:2" ht="12.75">
      <c r="A26" s="11" t="s">
        <v>103</v>
      </c>
      <c r="B26" s="5">
        <v>31046.27001198551</v>
      </c>
    </row>
    <row r="27" spans="1:2" ht="12.75">
      <c r="A27" s="11" t="s">
        <v>105</v>
      </c>
      <c r="B27" s="5">
        <v>26373.409937571058</v>
      </c>
    </row>
    <row r="28" spans="1:2" ht="12.75">
      <c r="A28" s="11" t="s">
        <v>107</v>
      </c>
      <c r="B28" s="5">
        <v>22584.607952900184</v>
      </c>
    </row>
    <row r="29" spans="1:2" ht="12.75">
      <c r="A29" s="11" t="s">
        <v>109</v>
      </c>
      <c r="B29" s="5">
        <v>35513.84548855786</v>
      </c>
    </row>
    <row r="30" spans="1:2" ht="12.75">
      <c r="A30" s="11" t="s">
        <v>110</v>
      </c>
      <c r="B30" s="5">
        <v>50404.28998903996</v>
      </c>
    </row>
    <row r="31" spans="1:2" ht="12.75">
      <c r="A31" s="11" t="s">
        <v>112</v>
      </c>
      <c r="B31" s="5">
        <v>64139.86661665818</v>
      </c>
    </row>
    <row r="32" spans="1:2" ht="12.75">
      <c r="A32" s="11" t="s">
        <v>113</v>
      </c>
      <c r="B32" s="5">
        <v>37823.48475551414</v>
      </c>
    </row>
    <row r="33" spans="1:2" ht="12.75">
      <c r="A33" s="11" t="s">
        <v>115</v>
      </c>
      <c r="B33" s="5">
        <v>31163.995378310432</v>
      </c>
    </row>
    <row r="34" spans="1:2" ht="12.75">
      <c r="A34" s="11" t="s">
        <v>118</v>
      </c>
      <c r="B34" s="5">
        <v>31863.177140597334</v>
      </c>
    </row>
    <row r="35" spans="1:2" ht="12.75">
      <c r="A35" s="11" t="s">
        <v>120</v>
      </c>
      <c r="B35" s="5">
        <v>26451.048626421707</v>
      </c>
    </row>
    <row r="36" spans="1:2" ht="12.75">
      <c r="A36" s="11" t="s">
        <v>123</v>
      </c>
      <c r="B36" s="5">
        <v>31719.16784</v>
      </c>
    </row>
    <row r="37" spans="1:2" ht="12.75">
      <c r="A37" s="11" t="s">
        <v>126</v>
      </c>
      <c r="B37" s="5">
        <v>36757.8</v>
      </c>
    </row>
    <row r="38" spans="1:8" ht="12.75">
      <c r="A38" s="11" t="s">
        <v>129</v>
      </c>
      <c r="B38" s="5">
        <v>42861.41</v>
      </c>
      <c r="E38" s="9"/>
      <c r="F38" s="5"/>
      <c r="G38" s="5"/>
      <c r="H38" s="4"/>
    </row>
    <row r="39" spans="1:2" ht="12.75">
      <c r="A39" s="11" t="s">
        <v>132</v>
      </c>
      <c r="B39" s="5">
        <v>58267.92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H4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11" customWidth="1"/>
    <col min="2" max="2" width="10.00390625" style="0" customWidth="1"/>
    <col min="3" max="3" width="10.140625" style="0" customWidth="1"/>
    <col min="5" max="5" width="8.421875" style="9" customWidth="1"/>
    <col min="6" max="6" width="10.28125" style="0" customWidth="1"/>
    <col min="8" max="8" width="10.28125" style="0" customWidth="1"/>
  </cols>
  <sheetData>
    <row r="1" spans="2:8" ht="12.75">
      <c r="B1" s="1" t="s">
        <v>526</v>
      </c>
      <c r="F1" s="5"/>
      <c r="G1" s="5"/>
      <c r="H1" s="4"/>
    </row>
    <row r="2" spans="2:8" ht="12.75">
      <c r="B2" s="10" t="s">
        <v>6</v>
      </c>
      <c r="F2" s="5"/>
      <c r="G2" s="5"/>
      <c r="H2" s="4"/>
    </row>
    <row r="3" spans="6:8" ht="12.75">
      <c r="F3" s="5"/>
      <c r="G3" s="5"/>
      <c r="H3" s="4"/>
    </row>
    <row r="4" spans="1:8" ht="12.75">
      <c r="A4" s="11" t="s">
        <v>575</v>
      </c>
      <c r="B4" s="1" t="s">
        <v>448</v>
      </c>
      <c r="C4" s="1" t="s">
        <v>448</v>
      </c>
      <c r="D4" s="1" t="s">
        <v>453</v>
      </c>
      <c r="E4" s="10" t="s">
        <v>465</v>
      </c>
      <c r="F4" s="4" t="s">
        <v>466</v>
      </c>
      <c r="G4" s="4" t="s">
        <v>256</v>
      </c>
      <c r="H4" s="4" t="s">
        <v>210</v>
      </c>
    </row>
    <row r="5" spans="2:8" ht="12.75">
      <c r="B5" s="1" t="s">
        <v>533</v>
      </c>
      <c r="C5" s="1" t="s">
        <v>277</v>
      </c>
      <c r="D5" s="1" t="s">
        <v>257</v>
      </c>
      <c r="E5" s="10" t="s">
        <v>404</v>
      </c>
      <c r="F5" s="4" t="s">
        <v>388</v>
      </c>
      <c r="G5" s="4" t="s">
        <v>241</v>
      </c>
      <c r="H5" s="4" t="s">
        <v>282</v>
      </c>
    </row>
    <row r="6" spans="6:8" ht="12.75">
      <c r="F6" s="5"/>
      <c r="G6" s="5"/>
      <c r="H6" s="4"/>
    </row>
    <row r="7" spans="1:8" ht="12.75">
      <c r="A7" s="11">
        <v>1683</v>
      </c>
      <c r="B7" s="28" t="s">
        <v>425</v>
      </c>
      <c r="C7" t="s">
        <v>260</v>
      </c>
      <c r="D7">
        <f>25+30+31+31+30+31+30+1</f>
        <v>209</v>
      </c>
      <c r="E7" s="9">
        <v>80500</v>
      </c>
      <c r="F7" s="5">
        <f aca="true" t="shared" si="0" ref="F7:F44">E7*0.2269</f>
        <v>18265.45</v>
      </c>
      <c r="G7" s="5">
        <f>F7/D7</f>
        <v>87.39449760765551</v>
      </c>
      <c r="H7" s="4">
        <f>G7*365</f>
        <v>31898.99162679426</v>
      </c>
    </row>
    <row r="8" spans="1:8" ht="12.75">
      <c r="A8" s="11">
        <v>1684</v>
      </c>
      <c r="B8" t="s">
        <v>267</v>
      </c>
      <c r="C8" t="s">
        <v>365</v>
      </c>
      <c r="D8">
        <f>29+31+28+31+30+31+30+21</f>
        <v>231</v>
      </c>
      <c r="E8" s="9">
        <v>75000</v>
      </c>
      <c r="F8" s="5">
        <f t="shared" si="0"/>
        <v>17017.5</v>
      </c>
      <c r="G8" s="5">
        <f>F8/D8</f>
        <v>73.66883116883118</v>
      </c>
      <c r="H8" s="4">
        <f>G8*365</f>
        <v>26889.123376623378</v>
      </c>
    </row>
    <row r="9" spans="1:8" ht="12.75">
      <c r="A9" s="11">
        <v>1685</v>
      </c>
      <c r="B9" t="s">
        <v>447</v>
      </c>
      <c r="F9" s="5">
        <f t="shared" si="0"/>
        <v>0</v>
      </c>
      <c r="G9" s="5">
        <v>0</v>
      </c>
      <c r="H9" s="4">
        <f>(H7+H8+H12+H13)/4</f>
        <v>32690.361683651892</v>
      </c>
    </row>
    <row r="10" spans="1:8" ht="12.75">
      <c r="A10" s="11">
        <v>1686</v>
      </c>
      <c r="B10" t="s">
        <v>447</v>
      </c>
      <c r="F10" s="5">
        <f t="shared" si="0"/>
        <v>0</v>
      </c>
      <c r="G10" s="5">
        <v>0</v>
      </c>
      <c r="H10" s="4">
        <v>32690.361683651892</v>
      </c>
    </row>
    <row r="11" spans="1:8" ht="12.75">
      <c r="A11" s="11">
        <v>1687</v>
      </c>
      <c r="B11" t="s">
        <v>447</v>
      </c>
      <c r="F11" s="5">
        <f t="shared" si="0"/>
        <v>0</v>
      </c>
      <c r="G11" s="5">
        <v>0</v>
      </c>
      <c r="H11" s="4">
        <v>32690.361683651892</v>
      </c>
    </row>
    <row r="12" spans="1:8" ht="12.75">
      <c r="A12" s="11">
        <v>1688</v>
      </c>
      <c r="B12" t="s">
        <v>396</v>
      </c>
      <c r="C12" t="s">
        <v>426</v>
      </c>
      <c r="D12">
        <f>365-(6+30+13)</f>
        <v>316</v>
      </c>
      <c r="E12" s="9">
        <v>162349</v>
      </c>
      <c r="F12" s="5">
        <f t="shared" si="0"/>
        <v>36836.988099999995</v>
      </c>
      <c r="G12" s="5">
        <f>F12/D12</f>
        <v>116.57274715189872</v>
      </c>
      <c r="H12" s="4">
        <f>G12*365</f>
        <v>42549.05271044304</v>
      </c>
    </row>
    <row r="13" spans="1:8" ht="12.75">
      <c r="A13" s="11">
        <v>1689</v>
      </c>
      <c r="B13" t="s">
        <v>426</v>
      </c>
      <c r="C13" t="s">
        <v>240</v>
      </c>
      <c r="D13">
        <f>365+25+30+31+31</f>
        <v>482</v>
      </c>
      <c r="E13" s="9">
        <v>171248</v>
      </c>
      <c r="F13" s="5">
        <f t="shared" si="0"/>
        <v>38856.1712</v>
      </c>
      <c r="G13" s="5">
        <f>F13/D13</f>
        <v>80.61446307053941</v>
      </c>
      <c r="H13" s="4">
        <f>G13*365</f>
        <v>29424.279020746886</v>
      </c>
    </row>
    <row r="14" spans="1:8" ht="12.75">
      <c r="A14" s="11">
        <v>1690</v>
      </c>
      <c r="B14" t="s">
        <v>512</v>
      </c>
      <c r="C14" t="s">
        <v>350</v>
      </c>
      <c r="D14">
        <f>365+29+31+30+31+26</f>
        <v>512</v>
      </c>
      <c r="E14" s="9">
        <v>178979</v>
      </c>
      <c r="F14" s="5">
        <f t="shared" si="0"/>
        <v>40610.3351</v>
      </c>
      <c r="G14" s="5">
        <f>F14/D14</f>
        <v>79.3170607421875</v>
      </c>
      <c r="H14" s="4">
        <f>(H14+H18)/2</f>
        <v>17863.443397959178</v>
      </c>
    </row>
    <row r="15" spans="1:8" ht="12.75">
      <c r="A15" s="11">
        <v>1691</v>
      </c>
      <c r="B15" t="s">
        <v>447</v>
      </c>
      <c r="F15" s="5">
        <f t="shared" si="0"/>
        <v>0</v>
      </c>
      <c r="G15" s="5">
        <v>0</v>
      </c>
      <c r="H15" s="4">
        <f>(H14+H18)/2</f>
        <v>17863.443397959178</v>
      </c>
    </row>
    <row r="16" spans="1:8" ht="12.75">
      <c r="A16" s="11">
        <v>1692</v>
      </c>
      <c r="B16" t="s">
        <v>447</v>
      </c>
      <c r="F16" s="5">
        <f t="shared" si="0"/>
        <v>0</v>
      </c>
      <c r="G16" s="5">
        <v>0</v>
      </c>
      <c r="H16" s="4">
        <v>17305.21079177296</v>
      </c>
    </row>
    <row r="17" spans="1:8" ht="12.75">
      <c r="A17" s="11">
        <v>1693</v>
      </c>
      <c r="B17" t="s">
        <v>447</v>
      </c>
      <c r="F17" s="5">
        <f t="shared" si="0"/>
        <v>0</v>
      </c>
      <c r="G17" s="5">
        <v>0</v>
      </c>
      <c r="H17" s="4">
        <v>17305.21079177296</v>
      </c>
    </row>
    <row r="18" spans="1:8" ht="12.75">
      <c r="A18" s="11">
        <v>1694</v>
      </c>
      <c r="B18" t="s">
        <v>382</v>
      </c>
      <c r="C18" t="s">
        <v>300</v>
      </c>
      <c r="D18">
        <f>25+31+31+30+31+30+31+31+5</f>
        <v>245</v>
      </c>
      <c r="E18" s="9">
        <v>52845</v>
      </c>
      <c r="F18" s="5">
        <f t="shared" si="0"/>
        <v>11990.530499999999</v>
      </c>
      <c r="G18" s="5">
        <f aca="true" t="shared" si="1" ref="G18:G44">F18/D18</f>
        <v>48.940940816326524</v>
      </c>
      <c r="H18" s="4">
        <f aca="true" t="shared" si="2" ref="H18:H44">G18*365</f>
        <v>17863.44339795918</v>
      </c>
    </row>
    <row r="19" spans="1:8" ht="12.75">
      <c r="A19" s="11">
        <v>1695</v>
      </c>
      <c r="B19" t="s">
        <v>300</v>
      </c>
      <c r="C19" t="s">
        <v>217</v>
      </c>
      <c r="D19">
        <f>365+23+31+30</f>
        <v>449</v>
      </c>
      <c r="E19" s="9">
        <v>93062</v>
      </c>
      <c r="F19" s="5">
        <f t="shared" si="0"/>
        <v>21115.767799999998</v>
      </c>
      <c r="G19" s="5">
        <f t="shared" si="1"/>
        <v>47.02843608017817</v>
      </c>
      <c r="H19" s="4">
        <f t="shared" si="2"/>
        <v>17165.37916926503</v>
      </c>
    </row>
    <row r="20" spans="1:8" ht="12.75">
      <c r="A20" s="11">
        <v>1696</v>
      </c>
      <c r="B20" t="s">
        <v>413</v>
      </c>
      <c r="C20" t="s">
        <v>420</v>
      </c>
      <c r="D20">
        <f>365+20</f>
        <v>385</v>
      </c>
      <c r="E20" s="9">
        <v>58000</v>
      </c>
      <c r="F20" s="5">
        <f t="shared" si="0"/>
        <v>13160.199999999999</v>
      </c>
      <c r="G20" s="5">
        <f t="shared" si="1"/>
        <v>34.18233766233766</v>
      </c>
      <c r="H20" s="4">
        <f t="shared" si="2"/>
        <v>12476.553246753245</v>
      </c>
    </row>
    <row r="21" spans="1:8" ht="12.75">
      <c r="A21" s="11">
        <v>1697</v>
      </c>
      <c r="B21" t="s">
        <v>421</v>
      </c>
      <c r="C21" t="s">
        <v>457</v>
      </c>
      <c r="D21">
        <f>365+10+30+31+31+30+31+5</f>
        <v>533</v>
      </c>
      <c r="E21" s="9">
        <v>87000</v>
      </c>
      <c r="F21" s="5">
        <f t="shared" si="0"/>
        <v>19740.3</v>
      </c>
      <c r="G21" s="5">
        <f t="shared" si="1"/>
        <v>37.03621013133208</v>
      </c>
      <c r="H21" s="4">
        <f t="shared" si="2"/>
        <v>13518.21669793621</v>
      </c>
    </row>
    <row r="22" spans="1:8" ht="12.75">
      <c r="A22" s="11">
        <v>1698</v>
      </c>
      <c r="B22" t="s">
        <v>421</v>
      </c>
      <c r="C22" t="s">
        <v>457</v>
      </c>
      <c r="D22">
        <f>365+10+30+31+31+30+31+5</f>
        <v>533</v>
      </c>
      <c r="E22" s="9">
        <v>87000</v>
      </c>
      <c r="F22" s="5">
        <f t="shared" si="0"/>
        <v>19740.3</v>
      </c>
      <c r="G22" s="5">
        <f t="shared" si="1"/>
        <v>37.03621013133208</v>
      </c>
      <c r="H22" s="4">
        <f t="shared" si="2"/>
        <v>13518.21669793621</v>
      </c>
    </row>
    <row r="23" spans="1:8" ht="12.75">
      <c r="A23" s="11">
        <v>1699</v>
      </c>
      <c r="B23" t="s">
        <v>421</v>
      </c>
      <c r="C23" t="s">
        <v>457</v>
      </c>
      <c r="D23">
        <f>365+10+30+31+31+30+31+5</f>
        <v>533</v>
      </c>
      <c r="E23" s="9">
        <v>87000</v>
      </c>
      <c r="F23" s="5">
        <f t="shared" si="0"/>
        <v>19740.3</v>
      </c>
      <c r="G23" s="5">
        <f t="shared" si="1"/>
        <v>37.03621013133208</v>
      </c>
      <c r="H23" s="4">
        <f t="shared" si="2"/>
        <v>13518.21669793621</v>
      </c>
    </row>
    <row r="24" spans="1:8" ht="12.75">
      <c r="A24" s="11">
        <v>1700</v>
      </c>
      <c r="B24" t="s">
        <v>458</v>
      </c>
      <c r="C24" t="s">
        <v>416</v>
      </c>
      <c r="D24">
        <f>365+24+31+31+28+31+30+18</f>
        <v>558</v>
      </c>
      <c r="E24" s="9">
        <v>64000</v>
      </c>
      <c r="F24" s="5">
        <f t="shared" si="0"/>
        <v>14521.599999999999</v>
      </c>
      <c r="G24" s="5">
        <f t="shared" si="1"/>
        <v>26.02437275985663</v>
      </c>
      <c r="H24" s="4">
        <f t="shared" si="2"/>
        <v>9498.896057347669</v>
      </c>
    </row>
    <row r="25" spans="1:8" ht="12.75">
      <c r="A25" s="11">
        <v>1701</v>
      </c>
      <c r="B25" t="s">
        <v>418</v>
      </c>
      <c r="C25" t="s">
        <v>296</v>
      </c>
      <c r="D25">
        <f>365+12+30+31+31+30+31+30+31+31+26</f>
        <v>648</v>
      </c>
      <c r="E25" s="9">
        <v>53100</v>
      </c>
      <c r="F25" s="5">
        <f t="shared" si="0"/>
        <v>12048.39</v>
      </c>
      <c r="G25" s="5">
        <f t="shared" si="1"/>
        <v>18.593194444444443</v>
      </c>
      <c r="H25" s="4">
        <f t="shared" si="2"/>
        <v>6786.5159722222215</v>
      </c>
    </row>
    <row r="26" spans="1:8" ht="12.75">
      <c r="A26" s="11">
        <v>1702</v>
      </c>
      <c r="B26" t="s">
        <v>297</v>
      </c>
      <c r="C26" t="s">
        <v>239</v>
      </c>
      <c r="D26">
        <f>(2*365)+1+31+30+31+30+31+21</f>
        <v>905</v>
      </c>
      <c r="E26" s="9">
        <v>70000</v>
      </c>
      <c r="F26" s="5">
        <f t="shared" si="0"/>
        <v>15883</v>
      </c>
      <c r="G26" s="5">
        <f t="shared" si="1"/>
        <v>17.550276243093922</v>
      </c>
      <c r="H26" s="4">
        <f t="shared" si="2"/>
        <v>6405.850828729282</v>
      </c>
    </row>
    <row r="27" spans="1:8" ht="12.75">
      <c r="A27" s="11">
        <v>1703</v>
      </c>
      <c r="B27" t="s">
        <v>297</v>
      </c>
      <c r="C27" t="s">
        <v>239</v>
      </c>
      <c r="D27">
        <f>(2*365)+1+31+30+31+30+31+21</f>
        <v>905</v>
      </c>
      <c r="E27" s="9">
        <v>70000</v>
      </c>
      <c r="F27" s="5">
        <f t="shared" si="0"/>
        <v>15883</v>
      </c>
      <c r="G27" s="5">
        <f t="shared" si="1"/>
        <v>17.550276243093922</v>
      </c>
      <c r="H27" s="4">
        <f t="shared" si="2"/>
        <v>6405.850828729282</v>
      </c>
    </row>
    <row r="28" spans="1:8" ht="12.75">
      <c r="A28" s="11">
        <v>1704</v>
      </c>
      <c r="B28" t="s">
        <v>297</v>
      </c>
      <c r="C28" t="s">
        <v>239</v>
      </c>
      <c r="D28">
        <f>(2*365)+1+31+30+31+30+31+21</f>
        <v>905</v>
      </c>
      <c r="E28" s="9">
        <v>70000</v>
      </c>
      <c r="F28" s="5">
        <f t="shared" si="0"/>
        <v>15883</v>
      </c>
      <c r="G28" s="5">
        <f t="shared" si="1"/>
        <v>17.550276243093922</v>
      </c>
      <c r="H28" s="4">
        <f t="shared" si="2"/>
        <v>6405.850828729282</v>
      </c>
    </row>
    <row r="29" spans="1:8" ht="12.75">
      <c r="A29" s="11">
        <v>1705</v>
      </c>
      <c r="B29" t="s">
        <v>239</v>
      </c>
      <c r="C29" t="s">
        <v>263</v>
      </c>
      <c r="D29">
        <f>365+10+30+31+30+31</f>
        <v>497</v>
      </c>
      <c r="E29" s="9">
        <v>31000</v>
      </c>
      <c r="F29" s="5">
        <f t="shared" si="0"/>
        <v>7033.9</v>
      </c>
      <c r="G29" s="5">
        <f t="shared" si="1"/>
        <v>14.15271629778672</v>
      </c>
      <c r="H29" s="4">
        <f t="shared" si="2"/>
        <v>5165.7414486921525</v>
      </c>
    </row>
    <row r="30" spans="1:8" ht="12.75">
      <c r="A30" s="11">
        <v>1706</v>
      </c>
      <c r="B30" t="s">
        <v>239</v>
      </c>
      <c r="C30" t="s">
        <v>263</v>
      </c>
      <c r="D30">
        <f>365+10+30+31+30+31</f>
        <v>497</v>
      </c>
      <c r="E30" s="9">
        <v>31000</v>
      </c>
      <c r="F30" s="5">
        <f t="shared" si="0"/>
        <v>7033.9</v>
      </c>
      <c r="G30" s="5">
        <f t="shared" si="1"/>
        <v>14.15271629778672</v>
      </c>
      <c r="H30" s="4">
        <f t="shared" si="2"/>
        <v>5165.7414486921525</v>
      </c>
    </row>
    <row r="31" spans="1:8" ht="12.75">
      <c r="A31" s="11">
        <v>1707</v>
      </c>
      <c r="B31" t="s">
        <v>349</v>
      </c>
      <c r="C31" t="s">
        <v>262</v>
      </c>
      <c r="D31">
        <v>365</v>
      </c>
      <c r="E31" s="9">
        <v>51000</v>
      </c>
      <c r="F31" s="5">
        <f t="shared" si="0"/>
        <v>11571.9</v>
      </c>
      <c r="G31" s="5">
        <f t="shared" si="1"/>
        <v>31.703835616438354</v>
      </c>
      <c r="H31" s="4">
        <f t="shared" si="2"/>
        <v>11571.9</v>
      </c>
    </row>
    <row r="32" spans="1:8" ht="12.75">
      <c r="A32" s="11">
        <v>1708</v>
      </c>
      <c r="B32" t="s">
        <v>349</v>
      </c>
      <c r="C32" t="s">
        <v>262</v>
      </c>
      <c r="D32">
        <v>365</v>
      </c>
      <c r="E32" s="9">
        <v>28000</v>
      </c>
      <c r="F32" s="5">
        <f t="shared" si="0"/>
        <v>6353.2</v>
      </c>
      <c r="G32" s="5">
        <f t="shared" si="1"/>
        <v>17.406027397260274</v>
      </c>
      <c r="H32" s="4">
        <f t="shared" si="2"/>
        <v>6353.2</v>
      </c>
    </row>
    <row r="33" spans="1:8" ht="12.75">
      <c r="A33" s="11">
        <v>1709</v>
      </c>
      <c r="B33" t="s">
        <v>349</v>
      </c>
      <c r="C33" t="s">
        <v>262</v>
      </c>
      <c r="D33">
        <v>365</v>
      </c>
      <c r="E33" s="9">
        <v>26000</v>
      </c>
      <c r="F33" s="5">
        <f t="shared" si="0"/>
        <v>5899.4</v>
      </c>
      <c r="G33" s="5">
        <f t="shared" si="1"/>
        <v>16.162739726027397</v>
      </c>
      <c r="H33" s="4">
        <f t="shared" si="2"/>
        <v>5899.4</v>
      </c>
    </row>
    <row r="34" spans="1:8" ht="12.75">
      <c r="A34" s="11">
        <v>1710</v>
      </c>
      <c r="B34" t="s">
        <v>291</v>
      </c>
      <c r="C34" t="s">
        <v>197</v>
      </c>
      <c r="D34">
        <f>365+27+31</f>
        <v>423</v>
      </c>
      <c r="E34" s="9">
        <v>29000</v>
      </c>
      <c r="F34" s="5">
        <f t="shared" si="0"/>
        <v>6580.099999999999</v>
      </c>
      <c r="G34" s="5">
        <f t="shared" si="1"/>
        <v>15.55579196217494</v>
      </c>
      <c r="H34" s="4">
        <f t="shared" si="2"/>
        <v>5677.864066193853</v>
      </c>
    </row>
    <row r="35" spans="1:8" ht="12.75">
      <c r="A35" s="11">
        <v>1711</v>
      </c>
      <c r="B35" t="s">
        <v>214</v>
      </c>
      <c r="C35" t="s">
        <v>351</v>
      </c>
      <c r="D35">
        <f>365-(31+28+4)</f>
        <v>302</v>
      </c>
      <c r="E35" s="9">
        <v>13000</v>
      </c>
      <c r="F35" s="5">
        <f t="shared" si="0"/>
        <v>2949.7</v>
      </c>
      <c r="G35" s="5">
        <f t="shared" si="1"/>
        <v>9.767218543046358</v>
      </c>
      <c r="H35" s="4">
        <f t="shared" si="2"/>
        <v>3565.0347682119204</v>
      </c>
    </row>
    <row r="36" spans="1:8" ht="12.75">
      <c r="A36" s="11">
        <v>1712</v>
      </c>
      <c r="B36" t="s">
        <v>354</v>
      </c>
      <c r="C36" t="s">
        <v>352</v>
      </c>
      <c r="D36">
        <v>365</v>
      </c>
      <c r="E36" s="9">
        <v>31000</v>
      </c>
      <c r="F36" s="5">
        <f t="shared" si="0"/>
        <v>7033.9</v>
      </c>
      <c r="G36" s="5">
        <f t="shared" si="1"/>
        <v>19.270958904109587</v>
      </c>
      <c r="H36" s="4">
        <f t="shared" si="2"/>
        <v>7033.9</v>
      </c>
    </row>
    <row r="37" spans="1:8" ht="12.75">
      <c r="A37" s="11">
        <v>1713</v>
      </c>
      <c r="B37" t="s">
        <v>355</v>
      </c>
      <c r="C37" t="s">
        <v>353</v>
      </c>
      <c r="D37">
        <v>365</v>
      </c>
      <c r="E37" s="9">
        <v>16000</v>
      </c>
      <c r="F37" s="5">
        <f t="shared" si="0"/>
        <v>3630.3999999999996</v>
      </c>
      <c r="G37" s="5">
        <f t="shared" si="1"/>
        <v>9.946301369863013</v>
      </c>
      <c r="H37" s="4">
        <f t="shared" si="2"/>
        <v>3630.3999999999996</v>
      </c>
    </row>
    <row r="38" spans="1:8" ht="12.75">
      <c r="A38" s="11">
        <v>1714</v>
      </c>
      <c r="B38" t="s">
        <v>356</v>
      </c>
      <c r="C38" t="s">
        <v>264</v>
      </c>
      <c r="D38">
        <f>365-28</f>
        <v>337</v>
      </c>
      <c r="E38" s="9">
        <v>20000</v>
      </c>
      <c r="F38" s="5">
        <f t="shared" si="0"/>
        <v>4538</v>
      </c>
      <c r="G38" s="5">
        <f t="shared" si="1"/>
        <v>13.465875370919882</v>
      </c>
      <c r="H38" s="4">
        <f t="shared" si="2"/>
        <v>4915.044510385757</v>
      </c>
    </row>
    <row r="39" spans="1:8" ht="12.75">
      <c r="A39" s="11">
        <v>1715</v>
      </c>
      <c r="B39" t="s">
        <v>349</v>
      </c>
      <c r="C39" t="s">
        <v>262</v>
      </c>
      <c r="D39">
        <v>365</v>
      </c>
      <c r="E39" s="9">
        <v>15000</v>
      </c>
      <c r="F39" s="5">
        <f t="shared" si="0"/>
        <v>3403.5</v>
      </c>
      <c r="G39" s="5">
        <f t="shared" si="1"/>
        <v>9.324657534246576</v>
      </c>
      <c r="H39" s="4">
        <f t="shared" si="2"/>
        <v>3403.5000000000005</v>
      </c>
    </row>
    <row r="40" spans="1:8" ht="12.75">
      <c r="A40" s="11">
        <v>1716</v>
      </c>
      <c r="B40" t="s">
        <v>349</v>
      </c>
      <c r="C40" t="s">
        <v>262</v>
      </c>
      <c r="D40">
        <v>365</v>
      </c>
      <c r="E40" s="9">
        <v>20000</v>
      </c>
      <c r="F40" s="5">
        <f t="shared" si="0"/>
        <v>4538</v>
      </c>
      <c r="G40" s="5">
        <f t="shared" si="1"/>
        <v>12.432876712328767</v>
      </c>
      <c r="H40" s="4">
        <f t="shared" si="2"/>
        <v>4538</v>
      </c>
    </row>
    <row r="41" spans="1:8" ht="12.75">
      <c r="A41" s="11">
        <v>1717</v>
      </c>
      <c r="B41" t="s">
        <v>349</v>
      </c>
      <c r="C41" t="s">
        <v>262</v>
      </c>
      <c r="D41">
        <v>365</v>
      </c>
      <c r="E41" s="9">
        <v>18200</v>
      </c>
      <c r="F41" s="5">
        <f t="shared" si="0"/>
        <v>4129.58</v>
      </c>
      <c r="G41" s="5">
        <f t="shared" si="1"/>
        <v>11.313917808219179</v>
      </c>
      <c r="H41" s="4">
        <f t="shared" si="2"/>
        <v>4129.58</v>
      </c>
    </row>
    <row r="42" spans="1:8" ht="12.75">
      <c r="A42" s="11">
        <v>1718</v>
      </c>
      <c r="B42" t="s">
        <v>349</v>
      </c>
      <c r="C42" t="s">
        <v>262</v>
      </c>
      <c r="D42">
        <v>365</v>
      </c>
      <c r="E42" s="9">
        <v>21000</v>
      </c>
      <c r="F42" s="5">
        <f t="shared" si="0"/>
        <v>4764.9</v>
      </c>
      <c r="G42" s="5">
        <f t="shared" si="1"/>
        <v>13.054520547945204</v>
      </c>
      <c r="H42" s="4">
        <f t="shared" si="2"/>
        <v>4764.9</v>
      </c>
    </row>
    <row r="43" spans="1:8" ht="12.75">
      <c r="A43" s="11">
        <v>1719</v>
      </c>
      <c r="B43" t="s">
        <v>349</v>
      </c>
      <c r="C43" t="s">
        <v>262</v>
      </c>
      <c r="D43">
        <v>365</v>
      </c>
      <c r="E43" s="9">
        <v>17000</v>
      </c>
      <c r="F43" s="5">
        <f t="shared" si="0"/>
        <v>3857.2999999999997</v>
      </c>
      <c r="G43" s="5">
        <f t="shared" si="1"/>
        <v>10.567945205479452</v>
      </c>
      <c r="H43" s="4">
        <f t="shared" si="2"/>
        <v>3857.3</v>
      </c>
    </row>
    <row r="44" spans="1:8" ht="12.75">
      <c r="A44" s="11">
        <v>1720</v>
      </c>
      <c r="B44" t="s">
        <v>349</v>
      </c>
      <c r="C44" t="s">
        <v>262</v>
      </c>
      <c r="D44">
        <v>365</v>
      </c>
      <c r="E44" s="9">
        <v>11000</v>
      </c>
      <c r="F44" s="5">
        <f t="shared" si="0"/>
        <v>2495.9</v>
      </c>
      <c r="G44" s="5">
        <f t="shared" si="1"/>
        <v>6.838082191780822</v>
      </c>
      <c r="H44" s="4">
        <f t="shared" si="2"/>
        <v>2495.9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H67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10.140625" style="0" customWidth="1"/>
    <col min="6" max="6" width="10.28125" style="0" customWidth="1"/>
    <col min="7" max="7" width="9.00390625" style="0" customWidth="1"/>
    <col min="8" max="8" width="10.28125" style="0" customWidth="1"/>
  </cols>
  <sheetData>
    <row r="1" spans="1:8" ht="12.75">
      <c r="A1" s="11"/>
      <c r="B1" s="1" t="s">
        <v>526</v>
      </c>
      <c r="E1" s="9"/>
      <c r="F1" s="5"/>
      <c r="G1" s="5"/>
      <c r="H1" s="4"/>
    </row>
    <row r="2" spans="1:8" ht="12.75">
      <c r="A2" s="11"/>
      <c r="B2" s="10" t="s">
        <v>6</v>
      </c>
      <c r="E2" s="9"/>
      <c r="F2" s="5"/>
      <c r="G2" s="5"/>
      <c r="H2" s="4"/>
    </row>
    <row r="3" spans="1:8" ht="12.75">
      <c r="A3" s="11"/>
      <c r="E3" s="9"/>
      <c r="F3" s="5"/>
      <c r="G3" s="5"/>
      <c r="H3" s="4"/>
    </row>
    <row r="4" spans="1:8" ht="12.75">
      <c r="A4" s="11" t="s">
        <v>575</v>
      </c>
      <c r="B4" s="1" t="s">
        <v>448</v>
      </c>
      <c r="C4" s="1" t="s">
        <v>448</v>
      </c>
      <c r="D4" s="1" t="s">
        <v>453</v>
      </c>
      <c r="E4" s="10" t="s">
        <v>465</v>
      </c>
      <c r="F4" s="4" t="s">
        <v>466</v>
      </c>
      <c r="G4" s="4" t="s">
        <v>256</v>
      </c>
      <c r="H4" s="4" t="s">
        <v>210</v>
      </c>
    </row>
    <row r="5" spans="1:8" ht="12.75">
      <c r="A5" s="11"/>
      <c r="B5" s="1" t="s">
        <v>533</v>
      </c>
      <c r="C5" s="1" t="s">
        <v>277</v>
      </c>
      <c r="D5" s="1" t="s">
        <v>257</v>
      </c>
      <c r="E5" s="10" t="s">
        <v>404</v>
      </c>
      <c r="F5" s="4" t="s">
        <v>388</v>
      </c>
      <c r="G5" s="4" t="s">
        <v>241</v>
      </c>
      <c r="H5" s="4" t="s">
        <v>282</v>
      </c>
    </row>
    <row r="6" spans="1:8" ht="12.75">
      <c r="A6" s="11"/>
      <c r="E6" s="9"/>
      <c r="F6" s="5"/>
      <c r="G6" s="5"/>
      <c r="H6" s="4"/>
    </row>
    <row r="7" spans="1:8" ht="12.75">
      <c r="A7" s="11">
        <v>1683</v>
      </c>
      <c r="B7" t="s">
        <v>425</v>
      </c>
      <c r="C7" t="s">
        <v>260</v>
      </c>
      <c r="D7">
        <f>25+30+31+31+30+31+30+1</f>
        <v>209</v>
      </c>
      <c r="E7" s="9">
        <v>80500</v>
      </c>
      <c r="F7" s="5">
        <f>E7*0.2269</f>
        <v>18265.45</v>
      </c>
      <c r="G7" s="5">
        <f>F7/D7</f>
        <v>87.39449760765551</v>
      </c>
      <c r="H7" s="4">
        <f>G7*365</f>
        <v>31898.99162679426</v>
      </c>
    </row>
    <row r="8" spans="1:8" ht="12.75">
      <c r="A8" s="11">
        <v>1684</v>
      </c>
      <c r="B8" t="s">
        <v>267</v>
      </c>
      <c r="C8" t="s">
        <v>365</v>
      </c>
      <c r="D8">
        <f>29+31+28+31+30+31+30+21</f>
        <v>231</v>
      </c>
      <c r="E8" s="9">
        <v>75000</v>
      </c>
      <c r="F8" s="5">
        <f>E8*0.2269</f>
        <v>17017.5</v>
      </c>
      <c r="G8" s="5">
        <f>F8/D8</f>
        <v>73.66883116883118</v>
      </c>
      <c r="H8" s="4">
        <f>G8*365</f>
        <v>26889.123376623378</v>
      </c>
    </row>
    <row r="9" spans="1:8" ht="12.75">
      <c r="A9" s="11">
        <v>1685</v>
      </c>
      <c r="B9" t="s">
        <v>447</v>
      </c>
      <c r="E9" s="9"/>
      <c r="F9" s="5">
        <f>E9*0.2269</f>
        <v>0</v>
      </c>
      <c r="G9" s="5">
        <v>0</v>
      </c>
      <c r="H9" s="4">
        <f>(H7+H8+H15+H16)/4</f>
        <v>32690.361683651892</v>
      </c>
    </row>
    <row r="10" spans="1:8" ht="12.75">
      <c r="A10" s="11"/>
      <c r="E10" s="9"/>
      <c r="F10" s="5"/>
      <c r="G10" s="5"/>
      <c r="H10" s="4"/>
    </row>
    <row r="11" spans="1:8" ht="12.75">
      <c r="A11" s="11" t="s">
        <v>113</v>
      </c>
      <c r="E11" s="9"/>
      <c r="F11" s="5"/>
      <c r="G11" s="5"/>
      <c r="H11" s="4">
        <f>SUM(H7:H10)/3</f>
        <v>30492.82556235651</v>
      </c>
    </row>
    <row r="12" spans="1:8" ht="12.75">
      <c r="A12" s="11"/>
      <c r="E12" s="9"/>
      <c r="F12" s="5"/>
      <c r="G12" s="5"/>
      <c r="H12" s="4"/>
    </row>
    <row r="13" spans="1:8" ht="12.75">
      <c r="A13" s="11">
        <v>1686</v>
      </c>
      <c r="B13" t="s">
        <v>447</v>
      </c>
      <c r="E13" s="9"/>
      <c r="F13" s="5">
        <f>E13*0.2269</f>
        <v>0</v>
      </c>
      <c r="G13" s="5">
        <v>0</v>
      </c>
      <c r="H13" s="4">
        <v>32690.361683651892</v>
      </c>
    </row>
    <row r="14" spans="1:8" ht="12.75">
      <c r="A14" s="11">
        <v>1687</v>
      </c>
      <c r="B14" t="s">
        <v>447</v>
      </c>
      <c r="E14" s="9"/>
      <c r="F14" s="5">
        <f>E14*0.2269</f>
        <v>0</v>
      </c>
      <c r="G14" s="5">
        <v>0</v>
      </c>
      <c r="H14" s="4">
        <v>32690.361683651892</v>
      </c>
    </row>
    <row r="15" spans="1:8" ht="12.75">
      <c r="A15" s="11">
        <v>1688</v>
      </c>
      <c r="B15" t="s">
        <v>396</v>
      </c>
      <c r="C15" t="s">
        <v>426</v>
      </c>
      <c r="D15">
        <f>365-(6+30+13)</f>
        <v>316</v>
      </c>
      <c r="E15" s="9">
        <v>162349</v>
      </c>
      <c r="F15" s="5">
        <f>E15*0.2269</f>
        <v>36836.988099999995</v>
      </c>
      <c r="G15" s="5">
        <f>F15/D15</f>
        <v>116.57274715189872</v>
      </c>
      <c r="H15" s="4">
        <f>G15*365</f>
        <v>42549.05271044304</v>
      </c>
    </row>
    <row r="16" spans="1:8" ht="12.75">
      <c r="A16" s="11">
        <v>1689</v>
      </c>
      <c r="B16" t="s">
        <v>426</v>
      </c>
      <c r="C16" t="s">
        <v>240</v>
      </c>
      <c r="D16">
        <f>365+25+30+31+31</f>
        <v>482</v>
      </c>
      <c r="E16" s="9">
        <v>171248</v>
      </c>
      <c r="F16" s="5">
        <f>E16*0.2269</f>
        <v>38856.1712</v>
      </c>
      <c r="G16" s="5">
        <f>F16/D16</f>
        <v>80.61446307053941</v>
      </c>
      <c r="H16" s="4">
        <f>G16*365</f>
        <v>29424.279020746886</v>
      </c>
    </row>
    <row r="17" spans="1:8" ht="12.75">
      <c r="A17" s="11">
        <v>1690</v>
      </c>
      <c r="B17" t="s">
        <v>512</v>
      </c>
      <c r="C17" t="s">
        <v>350</v>
      </c>
      <c r="D17">
        <f>365+29+31+30+31+26</f>
        <v>512</v>
      </c>
      <c r="E17" s="9">
        <v>178979</v>
      </c>
      <c r="F17" s="5">
        <f>E17*0.2269</f>
        <v>40610.3351</v>
      </c>
      <c r="G17" s="5">
        <f>F17/D17</f>
        <v>79.3170607421875</v>
      </c>
      <c r="H17" s="4">
        <f>(H17+H24)/2</f>
        <v>17863.443397959178</v>
      </c>
    </row>
    <row r="18" spans="1:8" ht="12.75">
      <c r="A18" s="11"/>
      <c r="E18" s="9"/>
      <c r="F18" s="5"/>
      <c r="G18" s="5"/>
      <c r="H18" s="4"/>
    </row>
    <row r="19" spans="1:8" ht="12.75">
      <c r="A19" s="11" t="s">
        <v>115</v>
      </c>
      <c r="E19" s="9"/>
      <c r="F19" s="5"/>
      <c r="G19" s="5"/>
      <c r="H19" s="4">
        <f>SUM(H13:H18)/5</f>
        <v>31043.499699290573</v>
      </c>
    </row>
    <row r="20" spans="1:8" ht="12.75">
      <c r="A20" s="11"/>
      <c r="E20" s="9"/>
      <c r="F20" s="5"/>
      <c r="G20" s="5"/>
      <c r="H20" s="4"/>
    </row>
    <row r="21" spans="1:8" ht="12.75">
      <c r="A21" s="11">
        <v>1691</v>
      </c>
      <c r="B21" t="s">
        <v>447</v>
      </c>
      <c r="E21" s="9"/>
      <c r="F21" s="5">
        <f>E21*0.2269</f>
        <v>0</v>
      </c>
      <c r="G21" s="5">
        <v>0</v>
      </c>
      <c r="H21" s="4">
        <f>(H17+H24)/2</f>
        <v>17863.443397959178</v>
      </c>
    </row>
    <row r="22" spans="1:8" ht="12.75">
      <c r="A22" s="11">
        <v>1692</v>
      </c>
      <c r="B22" t="s">
        <v>447</v>
      </c>
      <c r="E22" s="9"/>
      <c r="F22" s="5">
        <f>E22*0.2269</f>
        <v>0</v>
      </c>
      <c r="G22" s="5">
        <v>0</v>
      </c>
      <c r="H22" s="4">
        <v>17305.21079177296</v>
      </c>
    </row>
    <row r="23" spans="1:8" ht="12.75">
      <c r="A23" s="11">
        <v>1693</v>
      </c>
      <c r="B23" t="s">
        <v>447</v>
      </c>
      <c r="E23" s="9"/>
      <c r="F23" s="5">
        <f>E23*0.2269</f>
        <v>0</v>
      </c>
      <c r="G23" s="5">
        <v>0</v>
      </c>
      <c r="H23" s="4">
        <v>17305.21079177296</v>
      </c>
    </row>
    <row r="24" spans="1:8" ht="12.75">
      <c r="A24" s="11">
        <v>1694</v>
      </c>
      <c r="B24" t="s">
        <v>382</v>
      </c>
      <c r="C24" t="s">
        <v>300</v>
      </c>
      <c r="D24">
        <f>25+31+31+30+31+30+31+31+5</f>
        <v>245</v>
      </c>
      <c r="E24" s="9">
        <v>52845</v>
      </c>
      <c r="F24" s="5">
        <f>E24*0.2269</f>
        <v>11990.530499999999</v>
      </c>
      <c r="G24" s="5">
        <f>F24/D24</f>
        <v>48.940940816326524</v>
      </c>
      <c r="H24" s="4">
        <f>G24*365</f>
        <v>17863.44339795918</v>
      </c>
    </row>
    <row r="25" spans="1:8" ht="12.75">
      <c r="A25" s="11">
        <v>1695</v>
      </c>
      <c r="B25" t="s">
        <v>300</v>
      </c>
      <c r="C25" t="s">
        <v>217</v>
      </c>
      <c r="D25">
        <f>365+23+31+30</f>
        <v>449</v>
      </c>
      <c r="E25" s="9">
        <v>93062</v>
      </c>
      <c r="F25" s="5">
        <f>E25*0.2269</f>
        <v>21115.767799999998</v>
      </c>
      <c r="G25" s="5">
        <f>F25/D25</f>
        <v>47.02843608017817</v>
      </c>
      <c r="H25" s="4">
        <f>G25*365</f>
        <v>17165.37916926503</v>
      </c>
    </row>
    <row r="26" spans="1:8" ht="12.75">
      <c r="A26" s="11"/>
      <c r="E26" s="9"/>
      <c r="F26" s="5"/>
      <c r="G26" s="5"/>
      <c r="H26" s="4"/>
    </row>
    <row r="27" spans="1:8" ht="12.75">
      <c r="A27" s="11" t="s">
        <v>118</v>
      </c>
      <c r="E27" s="9"/>
      <c r="F27" s="5"/>
      <c r="G27" s="5"/>
      <c r="H27" s="4">
        <f>SUM(H21:H26)/5</f>
        <v>17500.53750974586</v>
      </c>
    </row>
    <row r="28" spans="1:8" ht="12.75">
      <c r="A28" s="11"/>
      <c r="E28" s="9"/>
      <c r="F28" s="5"/>
      <c r="G28" s="5"/>
      <c r="H28" s="4"/>
    </row>
    <row r="29" spans="1:8" ht="12.75">
      <c r="A29" s="11">
        <v>1696</v>
      </c>
      <c r="B29" t="s">
        <v>413</v>
      </c>
      <c r="C29" t="s">
        <v>420</v>
      </c>
      <c r="D29">
        <f>365+20</f>
        <v>385</v>
      </c>
      <c r="E29" s="9">
        <v>58000</v>
      </c>
      <c r="F29" s="5">
        <f>E29*0.2269</f>
        <v>13160.199999999999</v>
      </c>
      <c r="G29" s="5">
        <f>F29/D29</f>
        <v>34.18233766233766</v>
      </c>
      <c r="H29" s="4">
        <f>G29*365</f>
        <v>12476.553246753245</v>
      </c>
    </row>
    <row r="30" spans="1:8" ht="12.75">
      <c r="A30" s="11">
        <v>1697</v>
      </c>
      <c r="B30" t="s">
        <v>421</v>
      </c>
      <c r="C30" t="s">
        <v>457</v>
      </c>
      <c r="D30">
        <f>365+10+30+31+31+30+31+5</f>
        <v>533</v>
      </c>
      <c r="E30" s="9">
        <v>87000</v>
      </c>
      <c r="F30" s="5">
        <f>E30*0.2269</f>
        <v>19740.3</v>
      </c>
      <c r="G30" s="5">
        <f>F30/D30</f>
        <v>37.03621013133208</v>
      </c>
      <c r="H30" s="4">
        <f>G30*365</f>
        <v>13518.21669793621</v>
      </c>
    </row>
    <row r="31" spans="1:8" ht="12.75">
      <c r="A31" s="11">
        <v>1698</v>
      </c>
      <c r="B31" t="s">
        <v>421</v>
      </c>
      <c r="C31" t="s">
        <v>457</v>
      </c>
      <c r="D31">
        <f>365+10+30+31+31+30+31+5</f>
        <v>533</v>
      </c>
      <c r="E31" s="9">
        <v>87000</v>
      </c>
      <c r="F31" s="5">
        <f>E31*0.2269</f>
        <v>19740.3</v>
      </c>
      <c r="G31" s="5">
        <f>F31/D31</f>
        <v>37.03621013133208</v>
      </c>
      <c r="H31" s="4">
        <f>G31*365</f>
        <v>13518.21669793621</v>
      </c>
    </row>
    <row r="32" spans="1:8" ht="12.75">
      <c r="A32" s="11">
        <v>1699</v>
      </c>
      <c r="B32" t="s">
        <v>421</v>
      </c>
      <c r="C32" t="s">
        <v>457</v>
      </c>
      <c r="D32">
        <f>365+10+30+31+31+30+31+5</f>
        <v>533</v>
      </c>
      <c r="E32" s="9">
        <v>87000</v>
      </c>
      <c r="F32" s="5">
        <f>E32*0.2269</f>
        <v>19740.3</v>
      </c>
      <c r="G32" s="5">
        <f>F32/D32</f>
        <v>37.03621013133208</v>
      </c>
      <c r="H32" s="4">
        <f>G32*365</f>
        <v>13518.21669793621</v>
      </c>
    </row>
    <row r="33" spans="1:8" ht="12.75">
      <c r="A33" s="11">
        <v>1700</v>
      </c>
      <c r="B33" t="s">
        <v>458</v>
      </c>
      <c r="C33" t="s">
        <v>416</v>
      </c>
      <c r="D33">
        <f>365+24+31+31+28+31+30+18</f>
        <v>558</v>
      </c>
      <c r="E33" s="9">
        <v>64000</v>
      </c>
      <c r="F33" s="5">
        <f>E33*0.2269</f>
        <v>14521.599999999999</v>
      </c>
      <c r="G33" s="5">
        <f>F33/D33</f>
        <v>26.02437275985663</v>
      </c>
      <c r="H33" s="4">
        <f>G33*365</f>
        <v>9498.896057347669</v>
      </c>
    </row>
    <row r="34" spans="1:8" ht="12.75">
      <c r="A34" s="11"/>
      <c r="E34" s="9"/>
      <c r="F34" s="5"/>
      <c r="G34" s="5"/>
      <c r="H34" s="4"/>
    </row>
    <row r="35" spans="1:8" ht="12.75">
      <c r="A35" s="11" t="s">
        <v>120</v>
      </c>
      <c r="E35" s="9"/>
      <c r="F35" s="5"/>
      <c r="G35" s="5"/>
      <c r="H35" s="4">
        <f>SUM(H29:H34)/5</f>
        <v>12506.019879581907</v>
      </c>
    </row>
    <row r="36" spans="1:8" ht="12.75">
      <c r="A36" s="11"/>
      <c r="E36" s="9"/>
      <c r="F36" s="5"/>
      <c r="G36" s="5"/>
      <c r="H36" s="4"/>
    </row>
    <row r="37" spans="1:8" ht="12.75">
      <c r="A37" s="11">
        <v>1701</v>
      </c>
      <c r="B37" t="s">
        <v>418</v>
      </c>
      <c r="C37" t="s">
        <v>296</v>
      </c>
      <c r="D37">
        <f>365+12+30+31+31+30+31+30+31+31+26</f>
        <v>648</v>
      </c>
      <c r="E37" s="9">
        <v>53100</v>
      </c>
      <c r="F37" s="5">
        <f>E37*0.2269</f>
        <v>12048.39</v>
      </c>
      <c r="G37" s="5">
        <f>F37/D37</f>
        <v>18.593194444444443</v>
      </c>
      <c r="H37" s="4">
        <f>G37*365</f>
        <v>6786.5159722222215</v>
      </c>
    </row>
    <row r="38" spans="1:8" ht="12.75">
      <c r="A38" s="11">
        <v>1702</v>
      </c>
      <c r="B38" t="s">
        <v>297</v>
      </c>
      <c r="C38" t="s">
        <v>239</v>
      </c>
      <c r="D38">
        <f>(2*365)+1+31+30+31+30+31+21</f>
        <v>905</v>
      </c>
      <c r="E38" s="9">
        <v>70000</v>
      </c>
      <c r="F38" s="5">
        <f>E38*0.2269</f>
        <v>15883</v>
      </c>
      <c r="G38" s="5">
        <f>F38/D38</f>
        <v>17.550276243093922</v>
      </c>
      <c r="H38" s="4">
        <f>G38*365</f>
        <v>6405.850828729282</v>
      </c>
    </row>
    <row r="39" spans="1:8" ht="12.75">
      <c r="A39" s="11">
        <v>1703</v>
      </c>
      <c r="B39" t="s">
        <v>297</v>
      </c>
      <c r="C39" t="s">
        <v>239</v>
      </c>
      <c r="D39">
        <f>(2*365)+1+31+30+31+30+31+21</f>
        <v>905</v>
      </c>
      <c r="E39" s="9">
        <v>70000</v>
      </c>
      <c r="F39" s="5">
        <f>E39*0.2269</f>
        <v>15883</v>
      </c>
      <c r="G39" s="5">
        <f>F39/D39</f>
        <v>17.550276243093922</v>
      </c>
      <c r="H39" s="4">
        <f>G39*365</f>
        <v>6405.850828729282</v>
      </c>
    </row>
    <row r="40" spans="1:8" ht="12.75">
      <c r="A40" s="11">
        <v>1704</v>
      </c>
      <c r="B40" t="s">
        <v>297</v>
      </c>
      <c r="C40" t="s">
        <v>239</v>
      </c>
      <c r="D40">
        <f>(2*365)+1+31+30+31+30+31+21</f>
        <v>905</v>
      </c>
      <c r="E40" s="9">
        <v>70000</v>
      </c>
      <c r="F40" s="5">
        <f>E40*0.2269</f>
        <v>15883</v>
      </c>
      <c r="G40" s="5">
        <f>F40/D40</f>
        <v>17.550276243093922</v>
      </c>
      <c r="H40" s="4">
        <f>G40*365</f>
        <v>6405.850828729282</v>
      </c>
    </row>
    <row r="41" spans="1:8" ht="12.75">
      <c r="A41" s="11">
        <v>1705</v>
      </c>
      <c r="B41" t="s">
        <v>239</v>
      </c>
      <c r="C41" t="s">
        <v>263</v>
      </c>
      <c r="D41">
        <f>365+10+30+31+30+31</f>
        <v>497</v>
      </c>
      <c r="E41" s="9">
        <v>31000</v>
      </c>
      <c r="F41" s="5">
        <f>E41*0.2269</f>
        <v>7033.9</v>
      </c>
      <c r="G41" s="5">
        <f>F41/D41</f>
        <v>14.15271629778672</v>
      </c>
      <c r="H41" s="4">
        <f>G41*365</f>
        <v>5165.7414486921525</v>
      </c>
    </row>
    <row r="42" spans="1:8" ht="12.75">
      <c r="A42" s="11"/>
      <c r="E42" s="9"/>
      <c r="F42" s="5"/>
      <c r="G42" s="5"/>
      <c r="H42" s="4"/>
    </row>
    <row r="43" spans="1:8" ht="12.75">
      <c r="A43" s="11" t="s">
        <v>123</v>
      </c>
      <c r="E43" s="9"/>
      <c r="F43" s="5"/>
      <c r="G43" s="5"/>
      <c r="H43" s="4">
        <f>SUM(H37:H42)/5</f>
        <v>6233.961981420443</v>
      </c>
    </row>
    <row r="44" spans="1:8" ht="12.75">
      <c r="A44" s="11"/>
      <c r="E44" s="9"/>
      <c r="F44" s="5"/>
      <c r="G44" s="5"/>
      <c r="H44" s="4"/>
    </row>
    <row r="45" spans="1:8" ht="12.75">
      <c r="A45" s="11">
        <v>1706</v>
      </c>
      <c r="B45" t="s">
        <v>239</v>
      </c>
      <c r="C45" t="s">
        <v>263</v>
      </c>
      <c r="D45">
        <f>365+10+30+31+30+31</f>
        <v>497</v>
      </c>
      <c r="E45" s="9">
        <v>31000</v>
      </c>
      <c r="F45" s="5">
        <f>E45*0.2269</f>
        <v>7033.9</v>
      </c>
      <c r="G45" s="5">
        <f>F45/D45</f>
        <v>14.15271629778672</v>
      </c>
      <c r="H45" s="4">
        <f>G45*365</f>
        <v>5165.7414486921525</v>
      </c>
    </row>
    <row r="46" spans="1:8" ht="12.75">
      <c r="A46" s="11">
        <v>1707</v>
      </c>
      <c r="B46" t="s">
        <v>349</v>
      </c>
      <c r="C46" t="s">
        <v>262</v>
      </c>
      <c r="D46">
        <v>365</v>
      </c>
      <c r="E46" s="9">
        <v>51000</v>
      </c>
      <c r="F46" s="5">
        <f>E46*0.2269</f>
        <v>11571.9</v>
      </c>
      <c r="G46" s="5">
        <f>F46/D46</f>
        <v>31.703835616438354</v>
      </c>
      <c r="H46" s="4">
        <f>G46*365</f>
        <v>11571.9</v>
      </c>
    </row>
    <row r="47" spans="1:8" ht="12.75">
      <c r="A47" s="11">
        <v>1708</v>
      </c>
      <c r="B47" t="s">
        <v>349</v>
      </c>
      <c r="C47" t="s">
        <v>262</v>
      </c>
      <c r="D47">
        <v>365</v>
      </c>
      <c r="E47" s="9">
        <v>28000</v>
      </c>
      <c r="F47" s="5">
        <f>E47*0.2269</f>
        <v>6353.2</v>
      </c>
      <c r="G47" s="5">
        <f>F47/D47</f>
        <v>17.406027397260274</v>
      </c>
      <c r="H47" s="4">
        <f>G47*365</f>
        <v>6353.2</v>
      </c>
    </row>
    <row r="48" spans="1:8" ht="12.75">
      <c r="A48" s="11">
        <v>1709</v>
      </c>
      <c r="B48" t="s">
        <v>349</v>
      </c>
      <c r="C48" t="s">
        <v>262</v>
      </c>
      <c r="D48">
        <v>365</v>
      </c>
      <c r="E48" s="9">
        <v>26000</v>
      </c>
      <c r="F48" s="5">
        <f>E48*0.2269</f>
        <v>5899.4</v>
      </c>
      <c r="G48" s="5">
        <f>F48/D48</f>
        <v>16.162739726027397</v>
      </c>
      <c r="H48" s="4">
        <f>G48*365</f>
        <v>5899.4</v>
      </c>
    </row>
    <row r="49" spans="1:8" ht="12.75">
      <c r="A49" s="11">
        <v>1710</v>
      </c>
      <c r="B49" t="s">
        <v>291</v>
      </c>
      <c r="C49" t="s">
        <v>197</v>
      </c>
      <c r="D49">
        <f>365+27+31</f>
        <v>423</v>
      </c>
      <c r="E49" s="9">
        <v>29000</v>
      </c>
      <c r="F49" s="5">
        <f>E49*0.2269</f>
        <v>6580.099999999999</v>
      </c>
      <c r="G49" s="5">
        <f>F49/D49</f>
        <v>15.55579196217494</v>
      </c>
      <c r="H49" s="4">
        <f>G49*365</f>
        <v>5677.864066193853</v>
      </c>
    </row>
    <row r="50" spans="1:8" ht="12.75">
      <c r="A50" s="11"/>
      <c r="E50" s="9"/>
      <c r="F50" s="5"/>
      <c r="G50" s="5"/>
      <c r="H50" s="4"/>
    </row>
    <row r="51" spans="1:8" ht="12.75">
      <c r="A51" s="11" t="s">
        <v>126</v>
      </c>
      <c r="E51" s="9"/>
      <c r="F51" s="5"/>
      <c r="G51" s="5"/>
      <c r="H51" s="4">
        <f>SUM(H45:H50)/5</f>
        <v>6933.621102977202</v>
      </c>
    </row>
    <row r="52" spans="1:8" ht="12.75">
      <c r="A52" s="11"/>
      <c r="E52" s="9"/>
      <c r="F52" s="5"/>
      <c r="G52" s="5"/>
      <c r="H52" s="4"/>
    </row>
    <row r="53" spans="1:8" ht="12.75">
      <c r="A53" s="11">
        <v>1711</v>
      </c>
      <c r="B53" t="s">
        <v>214</v>
      </c>
      <c r="C53" t="s">
        <v>351</v>
      </c>
      <c r="D53">
        <f>365-(31+28+4)</f>
        <v>302</v>
      </c>
      <c r="E53" s="9">
        <v>13000</v>
      </c>
      <c r="F53" s="5">
        <f>E53*0.2269</f>
        <v>2949.7</v>
      </c>
      <c r="G53" s="5">
        <f>F53/D53</f>
        <v>9.767218543046358</v>
      </c>
      <c r="H53" s="4">
        <f>G53*365</f>
        <v>3565.0347682119204</v>
      </c>
    </row>
    <row r="54" spans="1:8" ht="12.75">
      <c r="A54" s="11">
        <v>1712</v>
      </c>
      <c r="B54" t="s">
        <v>354</v>
      </c>
      <c r="C54" t="s">
        <v>352</v>
      </c>
      <c r="D54">
        <v>365</v>
      </c>
      <c r="E54" s="9">
        <v>31000</v>
      </c>
      <c r="F54" s="5">
        <f>E54*0.2269</f>
        <v>7033.9</v>
      </c>
      <c r="G54" s="5">
        <f>F54/D54</f>
        <v>19.270958904109587</v>
      </c>
      <c r="H54" s="4">
        <f>G54*365</f>
        <v>7033.9</v>
      </c>
    </row>
    <row r="55" spans="1:8" ht="12.75">
      <c r="A55" s="11">
        <v>1713</v>
      </c>
      <c r="B55" t="s">
        <v>355</v>
      </c>
      <c r="C55" t="s">
        <v>353</v>
      </c>
      <c r="D55">
        <v>365</v>
      </c>
      <c r="E55" s="9">
        <v>16000</v>
      </c>
      <c r="F55" s="5">
        <f>E55*0.2269</f>
        <v>3630.3999999999996</v>
      </c>
      <c r="G55" s="5">
        <f>F55/D55</f>
        <v>9.946301369863013</v>
      </c>
      <c r="H55" s="4">
        <f>G55*365</f>
        <v>3630.3999999999996</v>
      </c>
    </row>
    <row r="56" spans="1:8" ht="12.75">
      <c r="A56" s="11">
        <v>1714</v>
      </c>
      <c r="B56" t="s">
        <v>356</v>
      </c>
      <c r="C56" t="s">
        <v>264</v>
      </c>
      <c r="D56">
        <f>365-28</f>
        <v>337</v>
      </c>
      <c r="E56" s="9">
        <v>20000</v>
      </c>
      <c r="F56" s="5">
        <f>E56*0.2269</f>
        <v>4538</v>
      </c>
      <c r="G56" s="5">
        <f>F56/D56</f>
        <v>13.465875370919882</v>
      </c>
      <c r="H56" s="4">
        <f>G56*365</f>
        <v>4915.044510385757</v>
      </c>
    </row>
    <row r="57" spans="1:8" ht="12.75">
      <c r="A57" s="11">
        <v>1715</v>
      </c>
      <c r="B57" t="s">
        <v>349</v>
      </c>
      <c r="C57" t="s">
        <v>262</v>
      </c>
      <c r="D57">
        <v>365</v>
      </c>
      <c r="E57" s="9">
        <v>15000</v>
      </c>
      <c r="F57" s="5">
        <f>E57*0.2269</f>
        <v>3403.5</v>
      </c>
      <c r="G57" s="5">
        <f>F57/D57</f>
        <v>9.324657534246576</v>
      </c>
      <c r="H57" s="4">
        <f>G57*365</f>
        <v>3403.5000000000005</v>
      </c>
    </row>
    <row r="58" spans="1:8" ht="12.75">
      <c r="A58" s="11"/>
      <c r="E58" s="9"/>
      <c r="F58" s="5"/>
      <c r="G58" s="5"/>
      <c r="H58" s="4"/>
    </row>
    <row r="59" spans="1:8" ht="12.75">
      <c r="A59" s="11" t="s">
        <v>129</v>
      </c>
      <c r="E59" s="9"/>
      <c r="F59" s="5"/>
      <c r="G59" s="5"/>
      <c r="H59" s="4">
        <f>SUM(H53:H58)/5</f>
        <v>4509.575855719535</v>
      </c>
    </row>
    <row r="60" spans="1:8" ht="12.75">
      <c r="A60" s="11"/>
      <c r="E60" s="9"/>
      <c r="F60" s="5"/>
      <c r="G60" s="5"/>
      <c r="H60" s="4"/>
    </row>
    <row r="61" spans="1:8" ht="12.75">
      <c r="A61" s="11">
        <v>1716</v>
      </c>
      <c r="B61" t="s">
        <v>349</v>
      </c>
      <c r="C61" t="s">
        <v>262</v>
      </c>
      <c r="D61">
        <v>365</v>
      </c>
      <c r="E61" s="9">
        <v>20000</v>
      </c>
      <c r="F61" s="5">
        <f>E61*0.2269</f>
        <v>4538</v>
      </c>
      <c r="G61" s="5">
        <f>F61/D61</f>
        <v>12.432876712328767</v>
      </c>
      <c r="H61" s="4">
        <f>G61*365</f>
        <v>4538</v>
      </c>
    </row>
    <row r="62" spans="1:8" ht="12.75">
      <c r="A62" s="11">
        <v>1717</v>
      </c>
      <c r="B62" t="s">
        <v>349</v>
      </c>
      <c r="C62" t="s">
        <v>262</v>
      </c>
      <c r="D62">
        <v>365</v>
      </c>
      <c r="E62" s="9">
        <v>18200</v>
      </c>
      <c r="F62" s="5">
        <f>E62*0.2269</f>
        <v>4129.58</v>
      </c>
      <c r="G62" s="5">
        <f>F62/D62</f>
        <v>11.313917808219179</v>
      </c>
      <c r="H62" s="4">
        <f>G62*365</f>
        <v>4129.58</v>
      </c>
    </row>
    <row r="63" spans="1:8" ht="12.75">
      <c r="A63" s="11">
        <v>1718</v>
      </c>
      <c r="B63" t="s">
        <v>349</v>
      </c>
      <c r="C63" t="s">
        <v>262</v>
      </c>
      <c r="D63">
        <v>365</v>
      </c>
      <c r="E63" s="9">
        <v>21000</v>
      </c>
      <c r="F63" s="5">
        <f>E63*0.2269</f>
        <v>4764.9</v>
      </c>
      <c r="G63" s="5">
        <f>F63/D63</f>
        <v>13.054520547945204</v>
      </c>
      <c r="H63" s="4">
        <f>G63*365</f>
        <v>4764.9</v>
      </c>
    </row>
    <row r="64" spans="1:8" ht="12.75">
      <c r="A64" s="11">
        <v>1719</v>
      </c>
      <c r="B64" t="s">
        <v>349</v>
      </c>
      <c r="C64" t="s">
        <v>262</v>
      </c>
      <c r="D64">
        <v>365</v>
      </c>
      <c r="E64" s="9">
        <v>17000</v>
      </c>
      <c r="F64" s="5">
        <f>E64*0.2269</f>
        <v>3857.2999999999997</v>
      </c>
      <c r="G64" s="5">
        <f>F64/D64</f>
        <v>10.567945205479452</v>
      </c>
      <c r="H64" s="4">
        <f>G64*365</f>
        <v>3857.3</v>
      </c>
    </row>
    <row r="65" spans="1:8" ht="12.75">
      <c r="A65" s="11">
        <v>1720</v>
      </c>
      <c r="B65" t="s">
        <v>349</v>
      </c>
      <c r="C65" t="s">
        <v>262</v>
      </c>
      <c r="D65">
        <v>365</v>
      </c>
      <c r="E65" s="9">
        <v>11000</v>
      </c>
      <c r="F65" s="5">
        <f>E65*0.2269</f>
        <v>2495.9</v>
      </c>
      <c r="G65" s="5">
        <f>F65/D65</f>
        <v>6.838082191780822</v>
      </c>
      <c r="H65" s="4">
        <f>G65*365</f>
        <v>2495.9</v>
      </c>
    </row>
    <row r="66" spans="1:5" ht="12.75">
      <c r="A66" s="11"/>
      <c r="E66" s="9"/>
    </row>
    <row r="67" spans="1:8" ht="12.75">
      <c r="A67" s="11" t="s">
        <v>132</v>
      </c>
      <c r="H67" s="4">
        <f>SUM(H61:H66)/5</f>
        <v>3957.136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G14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2" width="10.28125" style="0" customWidth="1"/>
  </cols>
  <sheetData>
    <row r="1" spans="1:7" ht="12.75">
      <c r="A1" s="11"/>
      <c r="B1" s="1" t="s">
        <v>526</v>
      </c>
      <c r="E1" s="9"/>
      <c r="F1" s="5"/>
      <c r="G1" s="5"/>
    </row>
    <row r="2" spans="1:7" ht="12.75">
      <c r="A2" s="11"/>
      <c r="B2" s="10" t="s">
        <v>6</v>
      </c>
      <c r="E2" s="9"/>
      <c r="F2" s="5"/>
      <c r="G2" s="5"/>
    </row>
    <row r="3" spans="1:2" ht="12.75">
      <c r="A3" s="11"/>
      <c r="B3" s="4"/>
    </row>
    <row r="4" spans="1:2" ht="12.75">
      <c r="A4" s="11" t="s">
        <v>575</v>
      </c>
      <c r="B4" s="4" t="s">
        <v>210</v>
      </c>
    </row>
    <row r="5" spans="1:2" ht="12.75">
      <c r="A5" s="11"/>
      <c r="B5" s="4" t="s">
        <v>282</v>
      </c>
    </row>
    <row r="6" spans="1:2" ht="12.75">
      <c r="A6" s="11"/>
      <c r="B6" s="4"/>
    </row>
    <row r="7" spans="1:2" ht="12.75">
      <c r="A7" s="11" t="s">
        <v>113</v>
      </c>
      <c r="B7" s="5">
        <v>30492.82556235651</v>
      </c>
    </row>
    <row r="8" spans="1:2" ht="12.75">
      <c r="A8" s="11" t="s">
        <v>115</v>
      </c>
      <c r="B8" s="5">
        <v>31043.499699290573</v>
      </c>
    </row>
    <row r="9" spans="1:2" ht="12.75">
      <c r="A9" s="11" t="s">
        <v>118</v>
      </c>
      <c r="B9" s="5">
        <v>17500.53750974586</v>
      </c>
    </row>
    <row r="10" spans="1:2" ht="12.75">
      <c r="A10" s="11" t="s">
        <v>120</v>
      </c>
      <c r="B10" s="5">
        <v>12506.019879581907</v>
      </c>
    </row>
    <row r="11" spans="1:2" ht="12.75">
      <c r="A11" s="11" t="s">
        <v>123</v>
      </c>
      <c r="B11" s="5">
        <v>6233.961981420443</v>
      </c>
    </row>
    <row r="12" spans="1:2" ht="12.75">
      <c r="A12" s="11" t="s">
        <v>126</v>
      </c>
      <c r="B12" s="5">
        <v>6933.621102977202</v>
      </c>
    </row>
    <row r="13" spans="1:2" ht="12.75">
      <c r="A13" s="11" t="s">
        <v>129</v>
      </c>
      <c r="B13" s="5">
        <v>4509.575855719535</v>
      </c>
    </row>
    <row r="14" spans="1:2" ht="12.75">
      <c r="A14" s="11" t="s">
        <v>132</v>
      </c>
      <c r="B14" s="5">
        <v>3957.136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3"/>
  </sheetPr>
  <dimension ref="A1:I3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7109375" style="11" customWidth="1"/>
    <col min="2" max="2" width="10.8515625" style="5" customWidth="1"/>
    <col min="3" max="3" width="10.8515625" style="9" customWidth="1"/>
    <col min="4" max="4" width="10.8515625" style="21" customWidth="1"/>
    <col min="5" max="5" width="10.421875" style="9" customWidth="1"/>
    <col min="6" max="6" width="10.421875" style="5" customWidth="1"/>
    <col min="7" max="7" width="10.421875" style="21" customWidth="1"/>
    <col min="8" max="8" width="12.28125" style="9" customWidth="1"/>
    <col min="9" max="9" width="10.7109375" style="5" customWidth="1"/>
  </cols>
  <sheetData>
    <row r="1" ht="12.75">
      <c r="B1" s="4" t="s">
        <v>435</v>
      </c>
    </row>
    <row r="4" spans="1:9" ht="12.75">
      <c r="A4" s="11" t="s">
        <v>304</v>
      </c>
      <c r="B4" s="4" t="s">
        <v>314</v>
      </c>
      <c r="C4" s="10" t="s">
        <v>314</v>
      </c>
      <c r="D4" s="22" t="s">
        <v>314</v>
      </c>
      <c r="E4" s="10" t="s">
        <v>578</v>
      </c>
      <c r="F4" s="4" t="s">
        <v>578</v>
      </c>
      <c r="G4" s="22" t="s">
        <v>578</v>
      </c>
      <c r="H4" s="10" t="s">
        <v>436</v>
      </c>
      <c r="I4" s="4" t="s">
        <v>551</v>
      </c>
    </row>
    <row r="5" spans="1:9" ht="12.75">
      <c r="A5" s="11" t="s">
        <v>473</v>
      </c>
      <c r="B5" s="4" t="s">
        <v>409</v>
      </c>
      <c r="C5" s="10" t="s">
        <v>386</v>
      </c>
      <c r="D5" s="22" t="s">
        <v>471</v>
      </c>
      <c r="E5" s="10" t="s">
        <v>409</v>
      </c>
      <c r="F5" s="4" t="s">
        <v>386</v>
      </c>
      <c r="G5" s="22" t="s">
        <v>471</v>
      </c>
      <c r="H5" s="10" t="s">
        <v>409</v>
      </c>
      <c r="I5" s="4" t="s">
        <v>386</v>
      </c>
    </row>
    <row r="7" spans="1:9" ht="12.75">
      <c r="A7" s="11" t="s">
        <v>121</v>
      </c>
      <c r="B7" s="23" t="s">
        <v>449</v>
      </c>
      <c r="E7" s="9">
        <v>136046</v>
      </c>
      <c r="F7" s="5">
        <f aca="true" t="shared" si="0" ref="F7:F31">E7*0.2269</f>
        <v>30868.8374</v>
      </c>
      <c r="G7" s="21">
        <v>23.8</v>
      </c>
      <c r="H7" s="9">
        <v>572403</v>
      </c>
      <c r="I7" s="5">
        <f aca="true" t="shared" si="1" ref="I7:I31">H7*0.2269</f>
        <v>129878.2407</v>
      </c>
    </row>
    <row r="8" spans="1:9" ht="12.75">
      <c r="A8" s="11" t="s">
        <v>125</v>
      </c>
      <c r="B8" s="23" t="s">
        <v>449</v>
      </c>
      <c r="E8" s="9">
        <v>157170</v>
      </c>
      <c r="F8" s="5">
        <f t="shared" si="0"/>
        <v>35661.873</v>
      </c>
      <c r="G8" s="21">
        <v>24.2</v>
      </c>
      <c r="H8" s="9">
        <v>649552</v>
      </c>
      <c r="I8" s="5">
        <f t="shared" si="1"/>
        <v>147383.3488</v>
      </c>
    </row>
    <row r="9" spans="1:9" ht="12.75">
      <c r="A9" s="11" t="s">
        <v>127</v>
      </c>
      <c r="B9" s="23" t="s">
        <v>449</v>
      </c>
      <c r="E9" s="9">
        <v>188557</v>
      </c>
      <c r="F9" s="5">
        <f t="shared" si="0"/>
        <v>42783.5833</v>
      </c>
      <c r="G9" s="21">
        <v>15.2</v>
      </c>
      <c r="H9" s="9">
        <v>747030</v>
      </c>
      <c r="I9" s="5">
        <f t="shared" si="1"/>
        <v>169501.107</v>
      </c>
    </row>
    <row r="10" spans="1:9" ht="12.75">
      <c r="A10" s="11" t="s">
        <v>131</v>
      </c>
      <c r="B10" s="23" t="s">
        <v>449</v>
      </c>
      <c r="E10" s="9">
        <v>249835</v>
      </c>
      <c r="F10" s="5">
        <f t="shared" si="0"/>
        <v>56687.561499999996</v>
      </c>
      <c r="G10" s="21">
        <v>31.2</v>
      </c>
      <c r="H10" s="9">
        <v>801874</v>
      </c>
      <c r="I10" s="5">
        <f t="shared" si="1"/>
        <v>181945.2106</v>
      </c>
    </row>
    <row r="11" spans="1:9" ht="12.75">
      <c r="A11" s="11" t="s">
        <v>133</v>
      </c>
      <c r="B11" s="23" t="s">
        <v>449</v>
      </c>
      <c r="E11" s="9">
        <v>260049</v>
      </c>
      <c r="F11" s="5">
        <f t="shared" si="0"/>
        <v>59005.1181</v>
      </c>
      <c r="G11" s="21">
        <v>26.2</v>
      </c>
      <c r="H11" s="9">
        <v>991509</v>
      </c>
      <c r="I11" s="5">
        <f t="shared" si="1"/>
        <v>224973.3921</v>
      </c>
    </row>
    <row r="12" spans="1:9" ht="12.75">
      <c r="A12" s="11" t="s">
        <v>137</v>
      </c>
      <c r="B12" s="23" t="s">
        <v>449</v>
      </c>
      <c r="E12" s="9">
        <v>222295</v>
      </c>
      <c r="F12" s="5">
        <f t="shared" si="0"/>
        <v>50438.735499999995</v>
      </c>
      <c r="G12" s="21">
        <v>18</v>
      </c>
      <c r="H12" s="9">
        <v>988531</v>
      </c>
      <c r="I12" s="5">
        <f t="shared" si="1"/>
        <v>224297.6839</v>
      </c>
    </row>
    <row r="13" spans="1:9" ht="12.75">
      <c r="A13" s="11" t="s">
        <v>139</v>
      </c>
      <c r="B13" s="23" t="s">
        <v>449</v>
      </c>
      <c r="E13" s="9">
        <v>238024</v>
      </c>
      <c r="F13" s="5">
        <f t="shared" si="0"/>
        <v>54007.645599999996</v>
      </c>
      <c r="G13" s="21">
        <v>22.3</v>
      </c>
      <c r="H13" s="9">
        <v>1068907</v>
      </c>
      <c r="I13" s="5">
        <f t="shared" si="1"/>
        <v>242534.99829999998</v>
      </c>
    </row>
    <row r="14" spans="1:9" ht="12.75">
      <c r="A14" s="11" t="s">
        <v>143</v>
      </c>
      <c r="B14" s="23" t="s">
        <v>449</v>
      </c>
      <c r="E14" s="9">
        <v>202629</v>
      </c>
      <c r="F14" s="5">
        <f t="shared" si="0"/>
        <v>45976.5201</v>
      </c>
      <c r="G14" s="21">
        <v>15.3</v>
      </c>
      <c r="H14" s="9">
        <v>1061292</v>
      </c>
      <c r="I14" s="5">
        <f t="shared" si="1"/>
        <v>240807.1548</v>
      </c>
    </row>
    <row r="15" spans="1:9" ht="12.75">
      <c r="A15" s="11" t="s">
        <v>145</v>
      </c>
      <c r="B15" s="23" t="s">
        <v>449</v>
      </c>
      <c r="E15" s="9">
        <v>148056</v>
      </c>
      <c r="F15" s="5">
        <f t="shared" si="0"/>
        <v>33593.9064</v>
      </c>
      <c r="G15" s="21">
        <v>8.3</v>
      </c>
      <c r="H15" s="9">
        <v>1065440</v>
      </c>
      <c r="I15" s="5">
        <f t="shared" si="1"/>
        <v>241748.33599999998</v>
      </c>
    </row>
    <row r="16" spans="1:9" ht="12.75">
      <c r="A16" s="11" t="s">
        <v>149</v>
      </c>
      <c r="B16" s="23" t="s">
        <v>449</v>
      </c>
      <c r="E16" s="9">
        <v>186496</v>
      </c>
      <c r="F16" s="5">
        <f t="shared" si="0"/>
        <v>42315.9424</v>
      </c>
      <c r="G16" s="21">
        <v>13.8</v>
      </c>
      <c r="H16" s="9">
        <v>1348000</v>
      </c>
      <c r="I16" s="5">
        <f t="shared" si="1"/>
        <v>305861.2</v>
      </c>
    </row>
    <row r="17" spans="1:9" ht="12.75">
      <c r="A17" s="11" t="s">
        <v>151</v>
      </c>
      <c r="B17" s="23" t="s">
        <v>449</v>
      </c>
      <c r="E17" s="9">
        <v>171364</v>
      </c>
      <c r="F17" s="5">
        <f t="shared" si="0"/>
        <v>38882.4916</v>
      </c>
      <c r="G17" s="21">
        <v>11.6</v>
      </c>
      <c r="H17" s="9">
        <v>1474200</v>
      </c>
      <c r="I17" s="5">
        <f t="shared" si="1"/>
        <v>334495.98</v>
      </c>
    </row>
    <row r="18" spans="1:9" ht="12.75">
      <c r="A18" s="11" t="s">
        <v>155</v>
      </c>
      <c r="B18" s="23" t="s">
        <v>449</v>
      </c>
      <c r="E18" s="9">
        <v>147265</v>
      </c>
      <c r="F18" s="5">
        <f t="shared" si="0"/>
        <v>33414.4285</v>
      </c>
      <c r="G18" s="21">
        <v>9.9</v>
      </c>
      <c r="H18" s="9">
        <v>1484579</v>
      </c>
      <c r="I18" s="5">
        <f t="shared" si="1"/>
        <v>336850.9751</v>
      </c>
    </row>
    <row r="19" spans="1:9" ht="12.75">
      <c r="A19" s="11" t="s">
        <v>157</v>
      </c>
      <c r="B19" s="23" t="s">
        <v>449</v>
      </c>
      <c r="E19" s="9">
        <v>108758</v>
      </c>
      <c r="F19" s="5">
        <f t="shared" si="0"/>
        <v>24677.190199999997</v>
      </c>
      <c r="G19" s="21">
        <v>8.3</v>
      </c>
      <c r="H19" s="9">
        <v>1304260</v>
      </c>
      <c r="I19" s="5">
        <f t="shared" si="1"/>
        <v>295936.594</v>
      </c>
    </row>
    <row r="20" spans="1:9" ht="12.75">
      <c r="A20" s="11" t="s">
        <v>160</v>
      </c>
      <c r="B20" s="5">
        <v>285166</v>
      </c>
      <c r="C20" s="9">
        <f aca="true" t="shared" si="2" ref="C20:C31">B20*0.2269</f>
        <v>64704.1654</v>
      </c>
      <c r="D20" s="21">
        <v>16.9</v>
      </c>
      <c r="E20" s="9">
        <v>114294</v>
      </c>
      <c r="F20" s="5">
        <f t="shared" si="0"/>
        <v>25933.3086</v>
      </c>
      <c r="G20" s="21">
        <v>8.5</v>
      </c>
      <c r="H20" s="9">
        <v>1351712</v>
      </c>
      <c r="I20" s="5">
        <f t="shared" si="1"/>
        <v>306703.45279999997</v>
      </c>
    </row>
    <row r="21" spans="1:9" ht="12.75">
      <c r="A21" s="11" t="s">
        <v>162</v>
      </c>
      <c r="B21" s="5">
        <v>381486</v>
      </c>
      <c r="C21" s="9">
        <f t="shared" si="2"/>
        <v>86559.1734</v>
      </c>
      <c r="D21" s="21">
        <v>21.5</v>
      </c>
      <c r="E21" s="9">
        <v>166794</v>
      </c>
      <c r="F21" s="5">
        <f t="shared" si="0"/>
        <v>37845.5586</v>
      </c>
      <c r="G21" s="21">
        <v>9.4</v>
      </c>
      <c r="H21" s="9">
        <v>1777098</v>
      </c>
      <c r="I21" s="5">
        <f t="shared" si="1"/>
        <v>403223.5362</v>
      </c>
    </row>
    <row r="22" spans="1:9" ht="12.75">
      <c r="A22" s="11" t="s">
        <v>165</v>
      </c>
      <c r="B22" s="5">
        <v>531378</v>
      </c>
      <c r="C22" s="9">
        <f t="shared" si="2"/>
        <v>120569.6682</v>
      </c>
      <c r="D22" s="21">
        <v>25.1</v>
      </c>
      <c r="E22" s="9">
        <v>296025</v>
      </c>
      <c r="F22" s="5">
        <f t="shared" si="0"/>
        <v>67168.0725</v>
      </c>
      <c r="G22" s="21">
        <v>14</v>
      </c>
      <c r="H22" s="9">
        <v>2115140</v>
      </c>
      <c r="I22" s="5">
        <f t="shared" si="1"/>
        <v>479925.266</v>
      </c>
    </row>
    <row r="23" spans="1:9" ht="12.75">
      <c r="A23" s="11" t="s">
        <v>168</v>
      </c>
      <c r="B23" s="5">
        <v>505174</v>
      </c>
      <c r="C23" s="9">
        <f t="shared" si="2"/>
        <v>114623.9806</v>
      </c>
      <c r="D23" s="21">
        <v>22.1</v>
      </c>
      <c r="E23" s="9">
        <v>261258</v>
      </c>
      <c r="F23" s="5">
        <f t="shared" si="0"/>
        <v>59279.4402</v>
      </c>
      <c r="G23" s="21">
        <v>11.4</v>
      </c>
      <c r="H23" s="9">
        <v>2286364</v>
      </c>
      <c r="I23" s="5">
        <f t="shared" si="1"/>
        <v>518775.99159999995</v>
      </c>
    </row>
    <row r="24" spans="1:9" ht="12.75">
      <c r="A24" s="11" t="s">
        <v>171</v>
      </c>
      <c r="B24" s="5">
        <v>493806</v>
      </c>
      <c r="C24" s="9">
        <f t="shared" si="2"/>
        <v>112044.5814</v>
      </c>
      <c r="D24" s="21">
        <v>22.3</v>
      </c>
      <c r="E24" s="9">
        <v>240998</v>
      </c>
      <c r="F24" s="5">
        <f t="shared" si="0"/>
        <v>54682.4462</v>
      </c>
      <c r="G24" s="21">
        <v>11.4</v>
      </c>
      <c r="H24" s="9">
        <v>2123725</v>
      </c>
      <c r="I24" s="5">
        <f t="shared" si="1"/>
        <v>481873.20249999996</v>
      </c>
    </row>
    <row r="25" spans="1:9" ht="12.75">
      <c r="A25" s="11" t="s">
        <v>174</v>
      </c>
      <c r="B25" s="5">
        <v>607874</v>
      </c>
      <c r="C25" s="9">
        <f t="shared" si="2"/>
        <v>137926.61059999999</v>
      </c>
      <c r="D25" s="21">
        <v>24.6</v>
      </c>
      <c r="E25" s="9">
        <v>246849</v>
      </c>
      <c r="F25" s="5">
        <f t="shared" si="0"/>
        <v>56010.0381</v>
      </c>
      <c r="G25" s="21">
        <v>10</v>
      </c>
      <c r="H25" s="9">
        <v>2473995</v>
      </c>
      <c r="I25" s="5">
        <f t="shared" si="1"/>
        <v>561349.4654999999</v>
      </c>
    </row>
    <row r="26" spans="1:9" ht="12.75">
      <c r="A26" s="11" t="s">
        <v>179</v>
      </c>
      <c r="B26" s="5">
        <v>577436</v>
      </c>
      <c r="C26" s="9">
        <f t="shared" si="2"/>
        <v>131020.22839999999</v>
      </c>
      <c r="D26" s="21">
        <v>21.9</v>
      </c>
      <c r="E26" s="9">
        <v>286413</v>
      </c>
      <c r="F26" s="5">
        <f t="shared" si="0"/>
        <v>64987.1097</v>
      </c>
      <c r="G26" s="21">
        <v>10.5</v>
      </c>
      <c r="H26" s="9">
        <v>2730256</v>
      </c>
      <c r="I26" s="5">
        <f t="shared" si="1"/>
        <v>619495.0864</v>
      </c>
    </row>
    <row r="27" spans="1:9" ht="12.75">
      <c r="A27" s="11" t="s">
        <v>180</v>
      </c>
      <c r="B27" s="5">
        <v>568866</v>
      </c>
      <c r="C27" s="9">
        <f t="shared" si="2"/>
        <v>129075.6954</v>
      </c>
      <c r="D27" s="21">
        <v>24.1</v>
      </c>
      <c r="E27" s="9">
        <v>275128</v>
      </c>
      <c r="F27" s="5">
        <f t="shared" si="0"/>
        <v>62426.5432</v>
      </c>
      <c r="G27" s="21">
        <v>9.3</v>
      </c>
      <c r="H27" s="9">
        <v>2362551</v>
      </c>
      <c r="I27" s="5">
        <f t="shared" si="1"/>
        <v>536062.8219</v>
      </c>
    </row>
    <row r="28" spans="1:9" ht="12.75">
      <c r="A28" s="11" t="s">
        <v>184</v>
      </c>
      <c r="B28" s="5">
        <v>631685</v>
      </c>
      <c r="C28" s="9">
        <f t="shared" si="2"/>
        <v>143329.3265</v>
      </c>
      <c r="D28" s="21">
        <v>23.3</v>
      </c>
      <c r="E28" s="9">
        <v>499224</v>
      </c>
      <c r="F28" s="5">
        <f t="shared" si="0"/>
        <v>113273.9256</v>
      </c>
      <c r="G28" s="21">
        <v>18.5</v>
      </c>
      <c r="H28" s="9">
        <v>2706337</v>
      </c>
      <c r="I28" s="5">
        <f t="shared" si="1"/>
        <v>614067.8653</v>
      </c>
    </row>
    <row r="29" spans="1:9" ht="12.75">
      <c r="A29" s="11" t="s">
        <v>186</v>
      </c>
      <c r="B29" s="5">
        <v>353917</v>
      </c>
      <c r="C29" s="9">
        <f t="shared" si="2"/>
        <v>80303.76729999999</v>
      </c>
      <c r="D29" s="21">
        <v>34.2</v>
      </c>
      <c r="E29" s="9">
        <v>329054</v>
      </c>
      <c r="F29" s="5">
        <f t="shared" si="0"/>
        <v>74662.3526</v>
      </c>
      <c r="G29" s="21">
        <v>19.1</v>
      </c>
      <c r="H29" s="9">
        <v>1034607</v>
      </c>
      <c r="I29" s="5">
        <f t="shared" si="1"/>
        <v>234752.3283</v>
      </c>
    </row>
    <row r="30" spans="1:9" ht="12.75">
      <c r="A30" s="11" t="s">
        <v>189</v>
      </c>
      <c r="B30" s="5">
        <v>209159</v>
      </c>
      <c r="C30" s="9">
        <f t="shared" si="2"/>
        <v>47458.1771</v>
      </c>
      <c r="D30" s="21">
        <v>19.7</v>
      </c>
      <c r="E30" s="9">
        <v>271525</v>
      </c>
      <c r="F30" s="5">
        <f t="shared" si="0"/>
        <v>61609.0225</v>
      </c>
      <c r="G30" s="21">
        <v>25.6</v>
      </c>
      <c r="H30" s="9">
        <v>1061385</v>
      </c>
      <c r="I30" s="5">
        <f t="shared" si="1"/>
        <v>240828.2565</v>
      </c>
    </row>
    <row r="31" spans="1:9" ht="12.75">
      <c r="A31" s="11" t="s">
        <v>191</v>
      </c>
      <c r="B31" s="5">
        <v>87224</v>
      </c>
      <c r="C31" s="9">
        <f t="shared" si="2"/>
        <v>19791.1256</v>
      </c>
      <c r="E31" s="9">
        <v>252912</v>
      </c>
      <c r="F31" s="5">
        <f t="shared" si="0"/>
        <v>57385.7328</v>
      </c>
      <c r="I31" s="5">
        <f t="shared" si="1"/>
        <v>0</v>
      </c>
    </row>
    <row r="34" ht="12.75">
      <c r="B34" s="5" t="s">
        <v>530</v>
      </c>
    </row>
    <row r="35" ht="12.75">
      <c r="B35" s="5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4"/>
  </sheetPr>
  <dimension ref="A1:I7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10.7109375" style="0" customWidth="1"/>
    <col min="2" max="4" width="11.00390625" style="0" customWidth="1"/>
    <col min="5" max="6" width="10.57421875" style="0" customWidth="1"/>
    <col min="7" max="7" width="10.57421875" style="17" customWidth="1"/>
    <col min="8" max="8" width="9.7109375" style="0" customWidth="1"/>
    <col min="9" max="9" width="11.7109375" style="15" customWidth="1"/>
  </cols>
  <sheetData>
    <row r="1" spans="1:8" ht="12.75">
      <c r="A1" s="11"/>
      <c r="B1" s="4" t="s">
        <v>435</v>
      </c>
      <c r="C1" s="9"/>
      <c r="D1" s="21"/>
      <c r="E1" s="9"/>
      <c r="F1" s="5"/>
      <c r="H1" s="9"/>
    </row>
    <row r="2" spans="1:8" ht="12.75">
      <c r="A2" s="11"/>
      <c r="B2" s="5"/>
      <c r="C2" s="9"/>
      <c r="D2" s="21"/>
      <c r="E2" s="9"/>
      <c r="F2" s="5"/>
      <c r="H2" s="9"/>
    </row>
    <row r="3" spans="1:8" ht="12.75">
      <c r="A3" s="11"/>
      <c r="B3" s="5"/>
      <c r="C3" s="9"/>
      <c r="D3" s="21"/>
      <c r="E3" s="9"/>
      <c r="F3" s="5"/>
      <c r="H3" s="9"/>
    </row>
    <row r="4" spans="1:9" ht="12.75">
      <c r="A4" s="11" t="s">
        <v>304</v>
      </c>
      <c r="B4" s="4" t="s">
        <v>314</v>
      </c>
      <c r="C4" s="10" t="s">
        <v>314</v>
      </c>
      <c r="D4" s="22" t="s">
        <v>314</v>
      </c>
      <c r="E4" s="10" t="s">
        <v>578</v>
      </c>
      <c r="F4" s="4" t="s">
        <v>578</v>
      </c>
      <c r="G4" s="18" t="s">
        <v>578</v>
      </c>
      <c r="H4" s="10" t="s">
        <v>436</v>
      </c>
      <c r="I4" s="16" t="s">
        <v>551</v>
      </c>
    </row>
    <row r="5" spans="1:9" ht="12.75">
      <c r="A5" s="11" t="s">
        <v>473</v>
      </c>
      <c r="B5" s="4" t="s">
        <v>409</v>
      </c>
      <c r="C5" s="10" t="s">
        <v>386</v>
      </c>
      <c r="D5" s="22" t="s">
        <v>471</v>
      </c>
      <c r="E5" s="10" t="s">
        <v>409</v>
      </c>
      <c r="F5" s="4" t="s">
        <v>386</v>
      </c>
      <c r="G5" s="18" t="s">
        <v>471</v>
      </c>
      <c r="H5" s="10" t="s">
        <v>409</v>
      </c>
      <c r="I5" s="16" t="s">
        <v>386</v>
      </c>
    </row>
    <row r="6" spans="1:8" ht="12.75">
      <c r="A6" s="11"/>
      <c r="B6" s="5"/>
      <c r="C6" s="9"/>
      <c r="D6" s="21"/>
      <c r="E6" s="9"/>
      <c r="F6" s="5"/>
      <c r="H6" s="9"/>
    </row>
    <row r="7" spans="1:9" ht="12.75">
      <c r="A7" s="11">
        <f>1700-4</f>
        <v>1696</v>
      </c>
      <c r="B7" s="23" t="s">
        <v>449</v>
      </c>
      <c r="C7" s="9"/>
      <c r="D7" s="21"/>
      <c r="E7" s="9">
        <v>136046</v>
      </c>
      <c r="F7" s="5">
        <f>E7*0.2269</f>
        <v>30868.8374</v>
      </c>
      <c r="G7" s="17">
        <v>23.8</v>
      </c>
      <c r="H7" s="9">
        <v>572403</v>
      </c>
      <c r="I7" s="15">
        <f>H7*0.2269</f>
        <v>129878.2407</v>
      </c>
    </row>
    <row r="8" spans="1:9" ht="12.75">
      <c r="A8" s="11">
        <f>1705-9</f>
        <v>1696</v>
      </c>
      <c r="B8" s="23" t="s">
        <v>449</v>
      </c>
      <c r="C8" s="9"/>
      <c r="D8" s="21"/>
      <c r="E8" s="9">
        <v>157170</v>
      </c>
      <c r="F8" s="5">
        <f>E8*0.2269</f>
        <v>35661.873</v>
      </c>
      <c r="G8" s="17">
        <v>24.2</v>
      </c>
      <c r="H8" s="9">
        <v>649552</v>
      </c>
      <c r="I8" s="15">
        <f>H8*0.2269</f>
        <v>147383.3488</v>
      </c>
    </row>
    <row r="9" spans="1:8" ht="12.75">
      <c r="A9" s="11"/>
      <c r="B9" s="23"/>
      <c r="C9" s="9"/>
      <c r="D9" s="21"/>
      <c r="E9" s="9"/>
      <c r="F9" s="5"/>
      <c r="H9" s="9"/>
    </row>
    <row r="10" spans="1:9" ht="12.75">
      <c r="A10" s="11" t="s">
        <v>122</v>
      </c>
      <c r="B10" s="23"/>
      <c r="C10" s="9"/>
      <c r="D10" s="21"/>
      <c r="E10" s="9">
        <f>AVERAGE(E7:E9)</f>
        <v>146608</v>
      </c>
      <c r="F10" s="9">
        <f>AVERAGE(F7:F9)</f>
        <v>33265.3552</v>
      </c>
      <c r="G10" s="17">
        <f>AVERAGE(G7:G9)</f>
        <v>24</v>
      </c>
      <c r="H10" s="9">
        <f>AVERAGE(H7:H9)</f>
        <v>610977.5</v>
      </c>
      <c r="I10" s="15">
        <f>AVERAGE(I7:I9)</f>
        <v>138630.79475</v>
      </c>
    </row>
    <row r="11" spans="1:8" ht="12.75">
      <c r="A11" s="11"/>
      <c r="B11" s="23"/>
      <c r="C11" s="9"/>
      <c r="D11" s="21"/>
      <c r="E11" s="9"/>
      <c r="F11" s="5"/>
      <c r="H11" s="9"/>
    </row>
    <row r="12" spans="1:9" ht="12.75">
      <c r="A12" s="11">
        <f>1710-14</f>
        <v>1696</v>
      </c>
      <c r="B12" s="23" t="s">
        <v>449</v>
      </c>
      <c r="C12" s="9"/>
      <c r="D12" s="21"/>
      <c r="E12" s="9">
        <v>188557</v>
      </c>
      <c r="F12" s="5">
        <f>E12*0.2269</f>
        <v>42783.5833</v>
      </c>
      <c r="G12" s="17">
        <v>15.2</v>
      </c>
      <c r="H12" s="9">
        <v>747030</v>
      </c>
      <c r="I12" s="15">
        <f>H12*0.2269</f>
        <v>169501.107</v>
      </c>
    </row>
    <row r="13" spans="1:9" ht="12.75">
      <c r="A13" s="11">
        <f>1715-19</f>
        <v>1696</v>
      </c>
      <c r="B13" s="23" t="s">
        <v>449</v>
      </c>
      <c r="C13" s="9"/>
      <c r="D13" s="21"/>
      <c r="E13" s="9">
        <v>249835</v>
      </c>
      <c r="F13" s="5">
        <f>E13*0.2269</f>
        <v>56687.561499999996</v>
      </c>
      <c r="G13" s="17">
        <v>31.2</v>
      </c>
      <c r="H13" s="9">
        <v>801874</v>
      </c>
      <c r="I13" s="15">
        <f>H13*0.2269</f>
        <v>181945.2106</v>
      </c>
    </row>
    <row r="14" spans="1:8" ht="12.75">
      <c r="A14" s="11"/>
      <c r="B14" s="23"/>
      <c r="C14" s="9"/>
      <c r="D14" s="21"/>
      <c r="E14" s="9"/>
      <c r="F14" s="5"/>
      <c r="H14" s="9"/>
    </row>
    <row r="15" spans="1:9" ht="12.75">
      <c r="A15" s="11" t="s">
        <v>128</v>
      </c>
      <c r="B15" s="23"/>
      <c r="C15" s="9"/>
      <c r="D15" s="21"/>
      <c r="E15" s="9">
        <f>AVERAGE(E12:E14)</f>
        <v>219196</v>
      </c>
      <c r="F15" s="9">
        <f>AVERAGE(F12:F14)</f>
        <v>49735.5724</v>
      </c>
      <c r="G15" s="17">
        <f>AVERAGE(G12:G14)</f>
        <v>23.2</v>
      </c>
      <c r="H15" s="9">
        <f>AVERAGE(H12:H14)</f>
        <v>774452</v>
      </c>
      <c r="I15" s="15">
        <f>AVERAGE(I12:I14)</f>
        <v>175723.15879999998</v>
      </c>
    </row>
    <row r="16" spans="1:8" ht="12.75">
      <c r="A16" s="11"/>
      <c r="B16" s="23"/>
      <c r="C16" s="9"/>
      <c r="D16" s="21"/>
      <c r="E16" s="9"/>
      <c r="F16" s="5"/>
      <c r="H16" s="9"/>
    </row>
    <row r="17" spans="1:9" ht="12.75">
      <c r="A17" s="11">
        <f>1720-24</f>
        <v>1696</v>
      </c>
      <c r="B17" s="23" t="s">
        <v>449</v>
      </c>
      <c r="C17" s="9"/>
      <c r="D17" s="21"/>
      <c r="E17" s="9">
        <v>260049</v>
      </c>
      <c r="F17" s="5">
        <f>E17*0.2269</f>
        <v>59005.1181</v>
      </c>
      <c r="G17" s="17">
        <v>26.2</v>
      </c>
      <c r="H17" s="9">
        <v>991509</v>
      </c>
      <c r="I17" s="15">
        <f>H17*0.2269</f>
        <v>224973.3921</v>
      </c>
    </row>
    <row r="18" spans="1:9" ht="12.75">
      <c r="A18" s="11">
        <f>1725-29</f>
        <v>1696</v>
      </c>
      <c r="B18" s="23" t="s">
        <v>449</v>
      </c>
      <c r="C18" s="9"/>
      <c r="D18" s="21"/>
      <c r="E18" s="9">
        <v>222295</v>
      </c>
      <c r="F18" s="5">
        <f>E18*0.2269</f>
        <v>50438.735499999995</v>
      </c>
      <c r="G18" s="17">
        <v>18</v>
      </c>
      <c r="H18" s="9">
        <v>988531</v>
      </c>
      <c r="I18" s="15">
        <f>H18*0.2269</f>
        <v>224297.6839</v>
      </c>
    </row>
    <row r="19" spans="1:8" ht="12.75">
      <c r="A19" s="11"/>
      <c r="B19" s="23"/>
      <c r="C19" s="9"/>
      <c r="D19" s="21"/>
      <c r="E19" s="9"/>
      <c r="F19" s="5"/>
      <c r="H19" s="9"/>
    </row>
    <row r="20" spans="1:9" ht="12.75">
      <c r="A20" s="11" t="s">
        <v>134</v>
      </c>
      <c r="B20" s="23"/>
      <c r="C20" s="9"/>
      <c r="D20" s="21"/>
      <c r="E20" s="9">
        <f>AVERAGE(E17:E19)</f>
        <v>241172</v>
      </c>
      <c r="F20" s="9">
        <f>AVERAGE(F17:F19)</f>
        <v>54721.9268</v>
      </c>
      <c r="G20" s="17">
        <f>AVERAGE(G17:G19)</f>
        <v>22.1</v>
      </c>
      <c r="H20" s="9">
        <f>AVERAGE(H17:H19)</f>
        <v>990020</v>
      </c>
      <c r="I20" s="15">
        <f>AVERAGE(I17:I19)</f>
        <v>224635.538</v>
      </c>
    </row>
    <row r="21" spans="1:8" ht="12.75">
      <c r="A21" s="11"/>
      <c r="B21" s="23"/>
      <c r="C21" s="9"/>
      <c r="D21" s="21"/>
      <c r="E21" s="9"/>
      <c r="F21" s="5"/>
      <c r="H21" s="9"/>
    </row>
    <row r="22" spans="1:9" ht="12.75">
      <c r="A22" s="11">
        <f>1730-34</f>
        <v>1696</v>
      </c>
      <c r="B22" s="23" t="s">
        <v>449</v>
      </c>
      <c r="C22" s="9"/>
      <c r="D22" s="21"/>
      <c r="E22" s="9">
        <v>238024</v>
      </c>
      <c r="F22" s="5">
        <f>E22*0.2269</f>
        <v>54007.645599999996</v>
      </c>
      <c r="G22" s="17">
        <v>22.3</v>
      </c>
      <c r="H22" s="9">
        <v>1068907</v>
      </c>
      <c r="I22" s="15">
        <f>H22*0.2269</f>
        <v>242534.99829999998</v>
      </c>
    </row>
    <row r="23" spans="1:9" ht="12.75">
      <c r="A23" s="11">
        <f>1735-39</f>
        <v>1696</v>
      </c>
      <c r="B23" s="23" t="s">
        <v>449</v>
      </c>
      <c r="C23" s="9"/>
      <c r="D23" s="21"/>
      <c r="E23" s="9">
        <v>202629</v>
      </c>
      <c r="F23" s="5">
        <f>E23*0.2269</f>
        <v>45976.5201</v>
      </c>
      <c r="G23" s="17">
        <v>15.3</v>
      </c>
      <c r="H23" s="9">
        <v>1061292</v>
      </c>
      <c r="I23" s="15">
        <f>H23*0.2269</f>
        <v>240807.1548</v>
      </c>
    </row>
    <row r="24" spans="1:8" ht="12.75">
      <c r="A24" s="11"/>
      <c r="B24" s="23"/>
      <c r="C24" s="9"/>
      <c r="D24" s="21"/>
      <c r="E24" s="9"/>
      <c r="F24" s="5"/>
      <c r="H24" s="9"/>
    </row>
    <row r="25" spans="1:9" ht="12.75">
      <c r="A25" s="11" t="s">
        <v>140</v>
      </c>
      <c r="B25" s="23"/>
      <c r="C25" s="9"/>
      <c r="D25" s="21"/>
      <c r="E25" s="9">
        <f>AVERAGE(E22:E24)</f>
        <v>220326.5</v>
      </c>
      <c r="F25" s="9">
        <f>AVERAGE(F22:F24)</f>
        <v>49992.08285</v>
      </c>
      <c r="G25" s="17">
        <f>AVERAGE(G22:G24)</f>
        <v>18.8</v>
      </c>
      <c r="H25" s="9">
        <f>AVERAGE(H22:H24)</f>
        <v>1065099.5</v>
      </c>
      <c r="I25" s="15">
        <f>AVERAGE(I22:I24)</f>
        <v>241671.07655</v>
      </c>
    </row>
    <row r="26" spans="1:8" ht="12.75">
      <c r="A26" s="11"/>
      <c r="B26" s="23"/>
      <c r="C26" s="9"/>
      <c r="D26" s="21"/>
      <c r="E26" s="9"/>
      <c r="F26" s="5"/>
      <c r="H26" s="9"/>
    </row>
    <row r="27" spans="1:9" ht="12.75">
      <c r="A27" s="11">
        <f>1740-44</f>
        <v>1696</v>
      </c>
      <c r="B27" s="23" t="s">
        <v>449</v>
      </c>
      <c r="C27" s="9"/>
      <c r="D27" s="21"/>
      <c r="E27" s="9">
        <v>148056</v>
      </c>
      <c r="F27" s="5">
        <f>E27*0.2269</f>
        <v>33593.9064</v>
      </c>
      <c r="G27" s="17">
        <v>8.3</v>
      </c>
      <c r="H27" s="9">
        <v>1065440</v>
      </c>
      <c r="I27" s="15">
        <f>H27*0.2269</f>
        <v>241748.33599999998</v>
      </c>
    </row>
    <row r="28" spans="1:9" ht="12.75">
      <c r="A28" s="11">
        <f>1745-49</f>
        <v>1696</v>
      </c>
      <c r="B28" s="23" t="s">
        <v>449</v>
      </c>
      <c r="C28" s="9"/>
      <c r="D28" s="21"/>
      <c r="E28" s="9">
        <v>186496</v>
      </c>
      <c r="F28" s="5">
        <f>E28*0.2269</f>
        <v>42315.9424</v>
      </c>
      <c r="G28" s="17">
        <v>13.8</v>
      </c>
      <c r="H28" s="9">
        <v>1348000</v>
      </c>
      <c r="I28" s="15">
        <f>H28*0.2269</f>
        <v>305861.2</v>
      </c>
    </row>
    <row r="29" spans="1:8" ht="12.75">
      <c r="A29" s="11"/>
      <c r="B29" s="23"/>
      <c r="C29" s="9"/>
      <c r="D29" s="21"/>
      <c r="E29" s="9"/>
      <c r="F29" s="5"/>
      <c r="H29" s="9"/>
    </row>
    <row r="30" spans="1:9" ht="12.75">
      <c r="A30" s="11" t="s">
        <v>146</v>
      </c>
      <c r="B30" s="23"/>
      <c r="C30" s="9"/>
      <c r="D30" s="21"/>
      <c r="E30" s="9">
        <f>AVERAGE(E27:E29)</f>
        <v>167276</v>
      </c>
      <c r="F30" s="9">
        <f>AVERAGE(F27:F29)</f>
        <v>37954.9244</v>
      </c>
      <c r="G30" s="17">
        <f>AVERAGE(G27:G29)</f>
        <v>11.05</v>
      </c>
      <c r="H30" s="9">
        <f>AVERAGE(H27:H29)</f>
        <v>1206720</v>
      </c>
      <c r="I30" s="15">
        <f>AVERAGE(I27:I29)</f>
        <v>273804.768</v>
      </c>
    </row>
    <row r="31" spans="1:8" ht="12.75">
      <c r="A31" s="11"/>
      <c r="B31" s="23"/>
      <c r="C31" s="9"/>
      <c r="D31" s="21"/>
      <c r="E31" s="9"/>
      <c r="F31" s="5"/>
      <c r="H31" s="9"/>
    </row>
    <row r="32" spans="1:9" ht="12.75">
      <c r="A32" s="11">
        <f>1750-54</f>
        <v>1696</v>
      </c>
      <c r="B32" s="23" t="s">
        <v>449</v>
      </c>
      <c r="C32" s="9"/>
      <c r="D32" s="21"/>
      <c r="E32" s="9">
        <v>171364</v>
      </c>
      <c r="F32" s="5">
        <f>E32*0.2269</f>
        <v>38882.4916</v>
      </c>
      <c r="G32" s="17">
        <v>11.6</v>
      </c>
      <c r="H32" s="9">
        <v>1474200</v>
      </c>
      <c r="I32" s="15">
        <f>H32*0.2269</f>
        <v>334495.98</v>
      </c>
    </row>
    <row r="33" spans="1:9" ht="12.75">
      <c r="A33" s="11">
        <f>1755-59</f>
        <v>1696</v>
      </c>
      <c r="B33" s="23" t="s">
        <v>449</v>
      </c>
      <c r="C33" s="9"/>
      <c r="D33" s="21"/>
      <c r="E33" s="9">
        <v>147265</v>
      </c>
      <c r="F33" s="5">
        <f>E33*0.2269</f>
        <v>33414.4285</v>
      </c>
      <c r="G33" s="17">
        <v>9.9</v>
      </c>
      <c r="H33" s="9">
        <v>1484579</v>
      </c>
      <c r="I33" s="15">
        <f>H33*0.2269</f>
        <v>336850.9751</v>
      </c>
    </row>
    <row r="34" spans="1:8" ht="12.75">
      <c r="A34" s="11"/>
      <c r="B34" s="23"/>
      <c r="C34" s="9"/>
      <c r="D34" s="21"/>
      <c r="E34" s="9"/>
      <c r="F34" s="5"/>
      <c r="H34" s="9"/>
    </row>
    <row r="35" spans="1:9" ht="12.75">
      <c r="A35" s="11" t="s">
        <v>152</v>
      </c>
      <c r="B35" s="23"/>
      <c r="C35" s="9"/>
      <c r="D35" s="21"/>
      <c r="E35" s="9">
        <f>AVERAGE(E32:E34)</f>
        <v>159314.5</v>
      </c>
      <c r="F35" s="9">
        <f>AVERAGE(F32:F34)</f>
        <v>36148.46005</v>
      </c>
      <c r="G35" s="17">
        <f>AVERAGE(G32:G34)</f>
        <v>10.75</v>
      </c>
      <c r="H35" s="9">
        <f>AVERAGE(H32:H34)</f>
        <v>1479389.5</v>
      </c>
      <c r="I35" s="15">
        <f>AVERAGE(I32:I34)</f>
        <v>335673.47754999995</v>
      </c>
    </row>
    <row r="36" spans="1:8" ht="12.75">
      <c r="A36" s="11"/>
      <c r="B36" s="23"/>
      <c r="C36" s="9"/>
      <c r="D36" s="21"/>
      <c r="E36" s="9"/>
      <c r="F36" s="5"/>
      <c r="H36" s="9"/>
    </row>
    <row r="37" spans="1:9" ht="12.75">
      <c r="A37" s="11">
        <f>1760-64</f>
        <v>1696</v>
      </c>
      <c r="B37" s="23" t="s">
        <v>449</v>
      </c>
      <c r="C37" s="9"/>
      <c r="D37" s="21"/>
      <c r="E37" s="9">
        <v>108758</v>
      </c>
      <c r="F37" s="5">
        <f>E37*0.2269</f>
        <v>24677.190199999997</v>
      </c>
      <c r="G37" s="17">
        <v>8.3</v>
      </c>
      <c r="H37" s="9">
        <v>1304260</v>
      </c>
      <c r="I37" s="15">
        <f>H37*0.2269</f>
        <v>295936.594</v>
      </c>
    </row>
    <row r="38" spans="1:9" ht="12.75">
      <c r="A38" s="11">
        <f>1765-69</f>
        <v>1696</v>
      </c>
      <c r="B38" s="5">
        <v>285166</v>
      </c>
      <c r="C38" s="9">
        <f>B38*0.2269</f>
        <v>64704.1654</v>
      </c>
      <c r="D38" s="21">
        <v>16.9</v>
      </c>
      <c r="E38" s="9">
        <v>114294</v>
      </c>
      <c r="F38" s="5">
        <f>E38*0.2269</f>
        <v>25933.3086</v>
      </c>
      <c r="G38" s="17">
        <v>8.5</v>
      </c>
      <c r="H38" s="9">
        <v>1351712</v>
      </c>
      <c r="I38" s="15">
        <f>H38*0.2269</f>
        <v>306703.45279999997</v>
      </c>
    </row>
    <row r="39" spans="1:8" ht="12.75">
      <c r="A39" s="11"/>
      <c r="B39" s="5"/>
      <c r="C39" s="9"/>
      <c r="D39" s="21"/>
      <c r="E39" s="9"/>
      <c r="F39" s="5"/>
      <c r="H39" s="9"/>
    </row>
    <row r="40" spans="1:9" ht="12.75">
      <c r="A40" s="11" t="s">
        <v>158</v>
      </c>
      <c r="B40" s="5"/>
      <c r="C40" s="9"/>
      <c r="D40" s="21"/>
      <c r="E40" s="9">
        <f>AVERAGE(E37:E39)</f>
        <v>111526</v>
      </c>
      <c r="F40" s="9">
        <f>AVERAGE(F37:F39)</f>
        <v>25305.2494</v>
      </c>
      <c r="G40" s="17">
        <f>AVERAGE(G37:G39)</f>
        <v>8.4</v>
      </c>
      <c r="H40" s="9">
        <f>AVERAGE(H37:H39)</f>
        <v>1327986</v>
      </c>
      <c r="I40" s="15">
        <f>AVERAGE(I37:I39)</f>
        <v>301320.02339999995</v>
      </c>
    </row>
    <row r="41" spans="1:8" ht="12.75">
      <c r="A41" s="11"/>
      <c r="B41" s="5"/>
      <c r="C41" s="9"/>
      <c r="D41" s="21"/>
      <c r="E41" s="9"/>
      <c r="F41" s="5"/>
      <c r="H41" s="9"/>
    </row>
    <row r="42" spans="1:9" ht="12.75">
      <c r="A42" s="11">
        <f>1770-74</f>
        <v>1696</v>
      </c>
      <c r="B42" s="5">
        <v>381486</v>
      </c>
      <c r="C42" s="9">
        <f>B42*0.2269</f>
        <v>86559.1734</v>
      </c>
      <c r="D42" s="21">
        <v>21.5</v>
      </c>
      <c r="E42" s="9">
        <v>166794</v>
      </c>
      <c r="F42" s="5">
        <f>E42*0.2269</f>
        <v>37845.5586</v>
      </c>
      <c r="G42" s="17">
        <v>9.4</v>
      </c>
      <c r="H42" s="9">
        <v>1777098</v>
      </c>
      <c r="I42" s="15">
        <f>H42*0.2269</f>
        <v>403223.5362</v>
      </c>
    </row>
    <row r="43" spans="1:9" ht="12.75">
      <c r="A43" s="11">
        <f>1775-79</f>
        <v>1696</v>
      </c>
      <c r="B43" s="5">
        <v>531378</v>
      </c>
      <c r="C43" s="9">
        <f>B43*0.2269</f>
        <v>120569.6682</v>
      </c>
      <c r="D43" s="21">
        <v>25.1</v>
      </c>
      <c r="E43" s="9">
        <v>296025</v>
      </c>
      <c r="F43" s="5">
        <f>E43*0.2269</f>
        <v>67168.0725</v>
      </c>
      <c r="G43" s="17">
        <v>14</v>
      </c>
      <c r="H43" s="9">
        <v>2115140</v>
      </c>
      <c r="I43" s="15">
        <f>H43*0.2269</f>
        <v>479925.266</v>
      </c>
    </row>
    <row r="44" spans="1:8" ht="12.75">
      <c r="A44" s="11"/>
      <c r="B44" s="5"/>
      <c r="C44" s="9"/>
      <c r="D44" s="21"/>
      <c r="E44" s="9"/>
      <c r="F44" s="5"/>
      <c r="H44" s="9"/>
    </row>
    <row r="45" spans="1:9" ht="12.75">
      <c r="A45" s="11" t="s">
        <v>163</v>
      </c>
      <c r="B45" s="5"/>
      <c r="C45" s="9"/>
      <c r="D45" s="21"/>
      <c r="E45" s="9">
        <f>AVERAGE(E42:E44)</f>
        <v>231409.5</v>
      </c>
      <c r="F45" s="9">
        <f>AVERAGE(F42:F44)</f>
        <v>52506.81555</v>
      </c>
      <c r="G45" s="17">
        <f>AVERAGE(G42:G44)</f>
        <v>11.7</v>
      </c>
      <c r="H45" s="9">
        <f>AVERAGE(H42:H44)</f>
        <v>1946119</v>
      </c>
      <c r="I45" s="15">
        <f>AVERAGE(I42:I44)</f>
        <v>441574.4011</v>
      </c>
    </row>
    <row r="46" spans="1:8" ht="12.75">
      <c r="A46" s="11"/>
      <c r="B46" s="5"/>
      <c r="C46" s="9"/>
      <c r="D46" s="21"/>
      <c r="E46" s="9"/>
      <c r="F46" s="5"/>
      <c r="H46" s="9"/>
    </row>
    <row r="47" spans="1:9" ht="12.75">
      <c r="A47" s="11">
        <f>1780-84</f>
        <v>1696</v>
      </c>
      <c r="B47" s="5">
        <v>505174</v>
      </c>
      <c r="C47" s="9">
        <f>B47*0.2269</f>
        <v>114623.9806</v>
      </c>
      <c r="D47" s="21">
        <v>22.1</v>
      </c>
      <c r="E47" s="9">
        <v>261258</v>
      </c>
      <c r="F47" s="5">
        <f>E47*0.2269</f>
        <v>59279.4402</v>
      </c>
      <c r="G47" s="17">
        <v>11.4</v>
      </c>
      <c r="H47" s="9">
        <v>2286364</v>
      </c>
      <c r="I47" s="15">
        <f>H47*0.2269</f>
        <v>518775.99159999995</v>
      </c>
    </row>
    <row r="48" spans="1:9" ht="12.75">
      <c r="A48" s="11">
        <f>1785-89</f>
        <v>1696</v>
      </c>
      <c r="B48" s="5">
        <v>493806</v>
      </c>
      <c r="C48" s="9">
        <f>B48*0.2269</f>
        <v>112044.5814</v>
      </c>
      <c r="D48" s="21">
        <v>22.3</v>
      </c>
      <c r="E48" s="9">
        <v>240998</v>
      </c>
      <c r="F48" s="5">
        <f>E48*0.2269</f>
        <v>54682.4462</v>
      </c>
      <c r="G48" s="17">
        <v>11.4</v>
      </c>
      <c r="H48" s="9">
        <v>2123725</v>
      </c>
      <c r="I48" s="15">
        <f>H48*0.2269</f>
        <v>481873.20249999996</v>
      </c>
    </row>
    <row r="49" spans="1:8" ht="12.75">
      <c r="A49" s="11"/>
      <c r="B49" s="5"/>
      <c r="C49" s="9"/>
      <c r="D49" s="21"/>
      <c r="E49" s="9"/>
      <c r="F49" s="5"/>
      <c r="H49" s="9"/>
    </row>
    <row r="50" spans="1:9" ht="12.75">
      <c r="A50" s="11" t="s">
        <v>169</v>
      </c>
      <c r="B50" s="5"/>
      <c r="C50" s="9"/>
      <c r="D50" s="21"/>
      <c r="E50" s="9">
        <f>AVERAGE(E47:E49)</f>
        <v>251128</v>
      </c>
      <c r="F50" s="9">
        <f>AVERAGE(F47:F49)</f>
        <v>56980.943199999994</v>
      </c>
      <c r="G50" s="17">
        <f>AVERAGE(G47:G49)</f>
        <v>11.4</v>
      </c>
      <c r="H50" s="9">
        <f>AVERAGE(H47:H49)</f>
        <v>2205044.5</v>
      </c>
      <c r="I50" s="15">
        <f>AVERAGE(I47:I49)</f>
        <v>500324.59705</v>
      </c>
    </row>
    <row r="51" spans="1:8" ht="12.75">
      <c r="A51" s="11"/>
      <c r="B51" s="5"/>
      <c r="C51" s="9"/>
      <c r="D51" s="21"/>
      <c r="E51" s="9"/>
      <c r="F51" s="5"/>
      <c r="H51" s="9"/>
    </row>
    <row r="52" spans="1:9" ht="12.75">
      <c r="A52" s="11">
        <f>1790-94</f>
        <v>1696</v>
      </c>
      <c r="B52" s="5">
        <v>607874</v>
      </c>
      <c r="C52" s="9">
        <f>B52*0.2269</f>
        <v>137926.61059999999</v>
      </c>
      <c r="D52" s="21">
        <v>24.6</v>
      </c>
      <c r="E52" s="9">
        <v>246849</v>
      </c>
      <c r="F52" s="5">
        <f>E52*0.2269</f>
        <v>56010.0381</v>
      </c>
      <c r="G52" s="17">
        <v>10</v>
      </c>
      <c r="H52" s="9">
        <v>2473995</v>
      </c>
      <c r="I52" s="15">
        <f>H52*0.2269</f>
        <v>561349.4654999999</v>
      </c>
    </row>
    <row r="53" spans="1:9" ht="12.75">
      <c r="A53" s="11">
        <f>1795-99</f>
        <v>1696</v>
      </c>
      <c r="B53" s="5">
        <v>577436</v>
      </c>
      <c r="C53" s="9">
        <f>B53*0.2269</f>
        <v>131020.22839999999</v>
      </c>
      <c r="D53" s="21">
        <v>21.9</v>
      </c>
      <c r="E53" s="9">
        <v>286413</v>
      </c>
      <c r="F53" s="5">
        <f>E53*0.2269</f>
        <v>64987.1097</v>
      </c>
      <c r="G53" s="17">
        <v>10.5</v>
      </c>
      <c r="H53" s="9">
        <v>2730256</v>
      </c>
      <c r="I53" s="15">
        <f>H53*0.2269</f>
        <v>619495.0864</v>
      </c>
    </row>
    <row r="54" spans="1:8" ht="12.75">
      <c r="A54" s="11"/>
      <c r="B54" s="5"/>
      <c r="C54" s="9"/>
      <c r="D54" s="21"/>
      <c r="E54" s="9"/>
      <c r="F54" s="5"/>
      <c r="H54" s="9"/>
    </row>
    <row r="55" spans="1:9" ht="12.75">
      <c r="A55" s="11" t="s">
        <v>175</v>
      </c>
      <c r="B55" s="5"/>
      <c r="C55" s="9"/>
      <c r="D55" s="21"/>
      <c r="E55" s="9">
        <f>AVERAGE(E52:E54)</f>
        <v>266631</v>
      </c>
      <c r="F55" s="9">
        <f>AVERAGE(F52:F54)</f>
        <v>60498.5739</v>
      </c>
      <c r="G55" s="17">
        <f>AVERAGE(G52:G54)</f>
        <v>10.25</v>
      </c>
      <c r="H55" s="9">
        <f>AVERAGE(H52:H54)</f>
        <v>2602125.5</v>
      </c>
      <c r="I55" s="15">
        <f>AVERAGE(I52:I54)</f>
        <v>590422.2759499999</v>
      </c>
    </row>
    <row r="56" spans="1:8" ht="12.75">
      <c r="A56" s="11"/>
      <c r="B56" s="5"/>
      <c r="C56" s="9"/>
      <c r="D56" s="21"/>
      <c r="E56" s="9"/>
      <c r="F56" s="5"/>
      <c r="H56" s="9"/>
    </row>
    <row r="57" spans="1:9" ht="12.75">
      <c r="A57" s="11">
        <f>1800-4</f>
        <v>1796</v>
      </c>
      <c r="B57" s="5">
        <v>568866</v>
      </c>
      <c r="C57" s="9">
        <f>B57*0.2269</f>
        <v>129075.6954</v>
      </c>
      <c r="D57" s="21">
        <v>24.1</v>
      </c>
      <c r="E57" s="9">
        <v>275128</v>
      </c>
      <c r="F57" s="5">
        <f>E57*0.2269</f>
        <v>62426.5432</v>
      </c>
      <c r="G57" s="17">
        <v>9.3</v>
      </c>
      <c r="H57" s="9">
        <v>2362551</v>
      </c>
      <c r="I57" s="15">
        <f>H57*0.2269</f>
        <v>536062.8219</v>
      </c>
    </row>
    <row r="58" spans="1:9" ht="12.75">
      <c r="A58" s="11">
        <f>1805-9</f>
        <v>1796</v>
      </c>
      <c r="B58" s="5">
        <v>631685</v>
      </c>
      <c r="C58" s="9">
        <f>B58*0.2269</f>
        <v>143329.3265</v>
      </c>
      <c r="D58" s="21">
        <v>23.3</v>
      </c>
      <c r="E58" s="9">
        <v>499224</v>
      </c>
      <c r="F58" s="5">
        <f>E58*0.2269</f>
        <v>113273.9256</v>
      </c>
      <c r="G58" s="17">
        <v>18.5</v>
      </c>
      <c r="H58" s="9">
        <v>2706337</v>
      </c>
      <c r="I58" s="15">
        <f>H58*0.2269</f>
        <v>614067.8653</v>
      </c>
    </row>
    <row r="59" spans="1:8" ht="12.75">
      <c r="A59" s="11"/>
      <c r="B59" s="5"/>
      <c r="C59" s="9"/>
      <c r="D59" s="21"/>
      <c r="E59" s="9"/>
      <c r="F59" s="5"/>
      <c r="H59" s="9"/>
    </row>
    <row r="60" spans="1:9" ht="12.75">
      <c r="A60" s="11" t="s">
        <v>181</v>
      </c>
      <c r="B60" s="5"/>
      <c r="C60" s="9"/>
      <c r="D60" s="21"/>
      <c r="E60" s="9">
        <f>AVERAGE(E57:E59)</f>
        <v>387176</v>
      </c>
      <c r="F60" s="9">
        <f>AVERAGE(F57:F59)</f>
        <v>87850.2344</v>
      </c>
      <c r="G60" s="17">
        <f>AVERAGE(G57:G59)</f>
        <v>13.9</v>
      </c>
      <c r="H60" s="9">
        <f>AVERAGE(H57:H59)</f>
        <v>2534444</v>
      </c>
      <c r="I60" s="15">
        <f>AVERAGE(I57:I59)</f>
        <v>575065.3436</v>
      </c>
    </row>
    <row r="61" spans="1:8" ht="12.75">
      <c r="A61" s="11"/>
      <c r="B61" s="5"/>
      <c r="C61" s="9"/>
      <c r="D61" s="21"/>
      <c r="E61" s="9"/>
      <c r="F61" s="5"/>
      <c r="H61" s="9"/>
    </row>
    <row r="62" spans="1:9" ht="12.75">
      <c r="A62" s="11">
        <f>1810-14</f>
        <v>1796</v>
      </c>
      <c r="B62" s="5">
        <v>353917</v>
      </c>
      <c r="C62" s="9">
        <f>B62*0.2269</f>
        <v>80303.76729999999</v>
      </c>
      <c r="D62" s="21">
        <v>34.2</v>
      </c>
      <c r="E62" s="9">
        <v>329054</v>
      </c>
      <c r="F62" s="5">
        <f>E62*0.2269</f>
        <v>74662.3526</v>
      </c>
      <c r="G62" s="17">
        <v>19.1</v>
      </c>
      <c r="H62" s="9">
        <v>1034607</v>
      </c>
      <c r="I62" s="15">
        <f>H62*0.2269</f>
        <v>234752.3283</v>
      </c>
    </row>
    <row r="63" spans="1:9" ht="12.75">
      <c r="A63" s="11">
        <f>1815-19</f>
        <v>1796</v>
      </c>
      <c r="B63" s="5">
        <v>209159</v>
      </c>
      <c r="C63" s="9">
        <f>B63*0.2269</f>
        <v>47458.1771</v>
      </c>
      <c r="D63" s="21">
        <v>19.7</v>
      </c>
      <c r="E63" s="9">
        <v>271525</v>
      </c>
      <c r="F63" s="5">
        <f>E63*0.2269</f>
        <v>61609.0225</v>
      </c>
      <c r="G63" s="17">
        <v>25.6</v>
      </c>
      <c r="H63" s="9">
        <v>1061385</v>
      </c>
      <c r="I63" s="15">
        <f>H63*0.2269</f>
        <v>240828.2565</v>
      </c>
    </row>
    <row r="64" spans="1:8" ht="12.75">
      <c r="A64" s="11"/>
      <c r="B64" s="5"/>
      <c r="C64" s="9"/>
      <c r="D64" s="21"/>
      <c r="E64" s="9"/>
      <c r="F64" s="5"/>
      <c r="H64" s="9"/>
    </row>
    <row r="65" spans="1:9" ht="12.75">
      <c r="A65" s="11" t="s">
        <v>187</v>
      </c>
      <c r="B65" s="5"/>
      <c r="C65" s="9"/>
      <c r="D65" s="21"/>
      <c r="E65" s="9">
        <f>AVERAGE(E62:E64)</f>
        <v>300289.5</v>
      </c>
      <c r="F65" s="9">
        <f>AVERAGE(F62:F64)</f>
        <v>68135.68755</v>
      </c>
      <c r="G65" s="17">
        <f>AVERAGE(G62:G64)</f>
        <v>22.35</v>
      </c>
      <c r="H65" s="9">
        <f>AVERAGE(H62:H64)</f>
        <v>1047996</v>
      </c>
      <c r="I65" s="15">
        <f>AVERAGE(I62:I64)</f>
        <v>237790.29239999998</v>
      </c>
    </row>
    <row r="66" spans="1:8" ht="12.75">
      <c r="A66" s="11"/>
      <c r="B66" s="5"/>
      <c r="C66" s="9"/>
      <c r="D66" s="21"/>
      <c r="E66" s="9"/>
      <c r="F66" s="5"/>
      <c r="H66" s="9"/>
    </row>
    <row r="67" spans="1:9" ht="12.75">
      <c r="A67" s="11">
        <f>1820-24</f>
        <v>1796</v>
      </c>
      <c r="B67" s="5">
        <v>87224</v>
      </c>
      <c r="C67" s="9">
        <f>B67*0.2269</f>
        <v>19791.1256</v>
      </c>
      <c r="D67" s="21"/>
      <c r="E67" s="9">
        <v>252912</v>
      </c>
      <c r="F67" s="5">
        <f>E67*0.2269</f>
        <v>57385.7328</v>
      </c>
      <c r="H67" s="9"/>
      <c r="I67" s="15">
        <f>H67*0.2269</f>
        <v>0</v>
      </c>
    </row>
    <row r="68" spans="1:8" ht="12.75">
      <c r="A68" s="11"/>
      <c r="B68" s="5"/>
      <c r="C68" s="9"/>
      <c r="D68" s="21"/>
      <c r="E68" s="9"/>
      <c r="F68" s="5"/>
      <c r="H68" s="9"/>
    </row>
    <row r="69" spans="1:8" ht="12.75">
      <c r="A69" s="11"/>
      <c r="B69" s="5"/>
      <c r="C69" s="9"/>
      <c r="D69" s="21"/>
      <c r="E69" s="9"/>
      <c r="F69" s="5"/>
      <c r="H69" s="9"/>
    </row>
    <row r="70" spans="1:8" ht="12.75">
      <c r="A70" s="11"/>
      <c r="B70" s="5" t="s">
        <v>530</v>
      </c>
      <c r="C70" s="9"/>
      <c r="D70" s="21"/>
      <c r="E70" s="9"/>
      <c r="F70" s="5"/>
      <c r="H70" s="9"/>
    </row>
    <row r="71" spans="1:8" ht="12.75">
      <c r="A71" s="11"/>
      <c r="B71" s="5" t="s">
        <v>0</v>
      </c>
      <c r="C71" s="9"/>
      <c r="D71" s="21"/>
      <c r="E71" s="9"/>
      <c r="F71" s="5"/>
      <c r="H71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135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140625" style="0" customWidth="1"/>
    <col min="2" max="2" width="12.7109375" style="0" customWidth="1"/>
    <col min="3" max="3" width="10.28125" style="0" customWidth="1"/>
    <col min="4" max="4" width="12.140625" style="0" customWidth="1"/>
    <col min="5" max="5" width="10.28125" style="5" customWidth="1"/>
    <col min="6" max="6" width="10.140625" style="5" customWidth="1"/>
    <col min="7" max="9" width="12.140625" style="0" customWidth="1"/>
    <col min="10" max="10" width="13.421875" style="0" customWidth="1"/>
    <col min="11" max="11" width="10.8515625" style="0" customWidth="1"/>
  </cols>
  <sheetData>
    <row r="1" spans="1:2" ht="12.75">
      <c r="A1" s="11"/>
      <c r="B1" s="1" t="s">
        <v>520</v>
      </c>
    </row>
    <row r="2" spans="1:2" ht="12.75">
      <c r="A2" s="11"/>
      <c r="B2" s="1" t="s">
        <v>16</v>
      </c>
    </row>
    <row r="3" ht="12.75">
      <c r="A3" s="11"/>
    </row>
    <row r="4" spans="1:11" ht="12.75">
      <c r="A4" s="11" t="s">
        <v>575</v>
      </c>
      <c r="B4" s="4" t="s">
        <v>505</v>
      </c>
      <c r="C4" s="4" t="s">
        <v>505</v>
      </c>
      <c r="D4" s="4" t="s">
        <v>505</v>
      </c>
      <c r="E4" s="4" t="s">
        <v>505</v>
      </c>
      <c r="F4" s="4" t="s">
        <v>505</v>
      </c>
      <c r="G4" s="4" t="s">
        <v>537</v>
      </c>
      <c r="H4" s="4" t="s">
        <v>537</v>
      </c>
      <c r="I4" s="4" t="s">
        <v>537</v>
      </c>
      <c r="J4" s="4" t="s">
        <v>244</v>
      </c>
      <c r="K4" s="4" t="s">
        <v>524</v>
      </c>
    </row>
    <row r="5" spans="1:11" ht="12.75">
      <c r="A5" s="11"/>
      <c r="B5" s="4" t="s">
        <v>508</v>
      </c>
      <c r="C5" s="4" t="s">
        <v>209</v>
      </c>
      <c r="D5" s="4" t="s">
        <v>407</v>
      </c>
      <c r="E5" s="4" t="s">
        <v>504</v>
      </c>
      <c r="F5" s="4" t="s">
        <v>281</v>
      </c>
      <c r="G5" s="4" t="s">
        <v>316</v>
      </c>
      <c r="H5" s="4" t="s">
        <v>275</v>
      </c>
      <c r="I5" s="4" t="s">
        <v>315</v>
      </c>
      <c r="J5" s="4" t="s">
        <v>363</v>
      </c>
      <c r="K5" s="4" t="s">
        <v>307</v>
      </c>
    </row>
    <row r="6" spans="1:11" ht="12.75">
      <c r="A6" s="11"/>
      <c r="B6" s="4" t="s">
        <v>384</v>
      </c>
      <c r="C6" s="4" t="s">
        <v>384</v>
      </c>
      <c r="D6" s="4" t="s">
        <v>384</v>
      </c>
      <c r="E6" s="4" t="s">
        <v>386</v>
      </c>
      <c r="F6" s="4" t="s">
        <v>331</v>
      </c>
      <c r="G6" s="4" t="s">
        <v>384</v>
      </c>
      <c r="H6" s="4" t="s">
        <v>384</v>
      </c>
      <c r="I6" s="4" t="s">
        <v>386</v>
      </c>
      <c r="J6" s="4" t="s">
        <v>331</v>
      </c>
      <c r="K6" s="4" t="s">
        <v>540</v>
      </c>
    </row>
    <row r="7" ht="12.75">
      <c r="A7" s="11"/>
    </row>
    <row r="8" spans="1:6" ht="12.75">
      <c r="A8" s="11">
        <v>1471</v>
      </c>
      <c r="B8" s="5">
        <v>2901.0544</v>
      </c>
      <c r="E8" s="5">
        <f>B8+C8+D8</f>
        <v>2901.0544</v>
      </c>
      <c r="F8" s="5">
        <v>2901.0544</v>
      </c>
    </row>
    <row r="9" spans="1:6" ht="12.75">
      <c r="A9" s="11">
        <v>1472</v>
      </c>
      <c r="B9" s="5">
        <v>6925.0976</v>
      </c>
      <c r="E9" s="5">
        <f>B9+C9+D9</f>
        <v>6925.0976</v>
      </c>
      <c r="F9" s="5">
        <v>6925.0976</v>
      </c>
    </row>
    <row r="10" spans="1:6" ht="12.75">
      <c r="A10" s="11">
        <v>1473</v>
      </c>
      <c r="B10" s="5">
        <v>1122.9888</v>
      </c>
      <c r="E10" s="5">
        <f>B10+C10+D10</f>
        <v>1122.9888</v>
      </c>
      <c r="F10" s="5">
        <v>1122.9888</v>
      </c>
    </row>
    <row r="11" spans="1:6" ht="12.75">
      <c r="A11" s="11">
        <v>1474</v>
      </c>
      <c r="B11" s="5">
        <v>7767.3392</v>
      </c>
      <c r="E11" s="5">
        <f>B11+C11+D11</f>
        <v>7767.3392</v>
      </c>
      <c r="F11" s="5">
        <v>7767.3392</v>
      </c>
    </row>
    <row r="12" spans="1:6" ht="12.75">
      <c r="A12" s="11">
        <v>1475</v>
      </c>
      <c r="B12" s="5">
        <v>3088.2192</v>
      </c>
      <c r="E12" s="5">
        <f>B12+C12+D12</f>
        <v>3088.2192</v>
      </c>
      <c r="F12" s="5">
        <v>3088.2192</v>
      </c>
    </row>
    <row r="13" spans="1:2" ht="12.75">
      <c r="A13" s="11"/>
      <c r="B13" s="5"/>
    </row>
    <row r="14" spans="1:6" ht="12.75">
      <c r="A14" s="11" t="s">
        <v>17</v>
      </c>
      <c r="B14" s="5">
        <f>SUM(B8:B13)/5</f>
        <v>4360.939840000001</v>
      </c>
      <c r="E14" s="5">
        <f>B14+C14+D14</f>
        <v>4360.939840000001</v>
      </c>
      <c r="F14" s="5">
        <f>SUM(F8:F13)/5</f>
        <v>4360.939840000001</v>
      </c>
    </row>
    <row r="15" spans="1:2" ht="12.75">
      <c r="A15" s="11"/>
      <c r="B15" s="5"/>
    </row>
    <row r="16" spans="1:6" ht="12.75">
      <c r="A16" s="11">
        <v>1476</v>
      </c>
      <c r="B16" s="5">
        <v>8983.9104</v>
      </c>
      <c r="E16" s="5">
        <f>B16+C16+D16</f>
        <v>8983.9104</v>
      </c>
      <c r="F16" s="5">
        <v>8983.9104</v>
      </c>
    </row>
    <row r="17" spans="1:6" ht="12.75">
      <c r="A17" s="11">
        <v>1477</v>
      </c>
      <c r="B17" s="5">
        <v>18061.4032</v>
      </c>
      <c r="E17" s="5">
        <f>B17+C17+D17</f>
        <v>18061.4032</v>
      </c>
      <c r="F17" s="5">
        <v>18061.4032</v>
      </c>
    </row>
    <row r="18" spans="1:6" ht="12.75">
      <c r="A18" s="11">
        <v>1478</v>
      </c>
      <c r="B18" s="5">
        <v>7322.8228</v>
      </c>
      <c r="E18" s="5">
        <f>B18+C18+D18</f>
        <v>7322.8228</v>
      </c>
      <c r="F18" s="5">
        <v>7322.8228</v>
      </c>
    </row>
    <row r="19" spans="1:6" ht="12.75">
      <c r="A19" s="11">
        <v>1479</v>
      </c>
      <c r="B19" s="5">
        <v>5708.5264</v>
      </c>
      <c r="E19" s="5">
        <f>B19+C19+D19</f>
        <v>5708.5264</v>
      </c>
      <c r="F19" s="5">
        <v>5708.5264</v>
      </c>
    </row>
    <row r="20" spans="1:6" ht="12.75">
      <c r="A20" s="11">
        <v>1480</v>
      </c>
      <c r="B20" s="5">
        <v>11510.6352</v>
      </c>
      <c r="E20" s="5">
        <f>B20+C20+D20</f>
        <v>11510.6352</v>
      </c>
      <c r="F20" s="5">
        <v>11510.6352</v>
      </c>
    </row>
    <row r="21" spans="1:2" ht="12.75">
      <c r="A21" s="11"/>
      <c r="B21" s="5"/>
    </row>
    <row r="22" spans="1:6" ht="12.75">
      <c r="A22" s="11" t="s">
        <v>20</v>
      </c>
      <c r="B22" s="5">
        <f>SUM(B16:B21)/5</f>
        <v>10317.459600000002</v>
      </c>
      <c r="E22" s="5">
        <f>B22+C22+D22</f>
        <v>10317.459600000002</v>
      </c>
      <c r="F22" s="5">
        <f>SUM(F16:F21)/5</f>
        <v>10317.459600000002</v>
      </c>
    </row>
    <row r="23" spans="1:2" ht="12.75">
      <c r="A23" s="11"/>
      <c r="B23" s="5"/>
    </row>
    <row r="24" spans="1:6" ht="12.75">
      <c r="A24" s="11">
        <v>1481</v>
      </c>
      <c r="B24" s="5">
        <v>2433.1424</v>
      </c>
      <c r="E24" s="5">
        <f>B24+C24+D24</f>
        <v>2433.1424</v>
      </c>
      <c r="F24" s="5">
        <v>2433.1424</v>
      </c>
    </row>
    <row r="25" spans="1:6" ht="12.75">
      <c r="A25" s="11">
        <v>1482</v>
      </c>
      <c r="B25" s="5">
        <v>3556.1312</v>
      </c>
      <c r="E25" s="5">
        <f>B25+C25+D25</f>
        <v>3556.1312</v>
      </c>
      <c r="F25" s="5">
        <v>4679.12</v>
      </c>
    </row>
    <row r="26" spans="1:6" ht="12.75">
      <c r="A26" s="11">
        <v>1483</v>
      </c>
      <c r="B26" s="5">
        <v>2807.4719999999998</v>
      </c>
      <c r="E26" s="5">
        <f>B26+C26+D26</f>
        <v>2807.4719999999998</v>
      </c>
      <c r="F26" s="5">
        <v>3649.7136</v>
      </c>
    </row>
    <row r="27" spans="1:6" ht="12.75">
      <c r="A27" s="11">
        <v>1484</v>
      </c>
      <c r="B27" s="5">
        <v>6550.768</v>
      </c>
      <c r="E27" s="5">
        <f>B27+C27+D27</f>
        <v>6550.768</v>
      </c>
      <c r="F27" s="5">
        <v>6550.768</v>
      </c>
    </row>
    <row r="28" spans="1:6" ht="12.75">
      <c r="A28" s="11">
        <v>1485</v>
      </c>
      <c r="B28" s="5">
        <v>1403.7359999999999</v>
      </c>
      <c r="E28" s="5">
        <f>B28+C28+D28</f>
        <v>1403.7359999999999</v>
      </c>
      <c r="F28" s="5">
        <v>1403.7359999999999</v>
      </c>
    </row>
    <row r="29" spans="1:2" ht="12.75">
      <c r="A29" s="11"/>
      <c r="B29" s="5"/>
    </row>
    <row r="30" spans="1:6" ht="12.75">
      <c r="A30" s="11" t="s">
        <v>23</v>
      </c>
      <c r="B30" s="5">
        <f>SUM(B24:B29)/5</f>
        <v>3350.2499199999997</v>
      </c>
      <c r="E30" s="5">
        <f>B30+C30+D30</f>
        <v>3350.2499199999997</v>
      </c>
      <c r="F30" s="5">
        <f>SUM(F24:F29)/5</f>
        <v>3743.296</v>
      </c>
    </row>
    <row r="31" spans="1:2" ht="12.75">
      <c r="A31" s="11"/>
      <c r="B31" s="5"/>
    </row>
    <row r="32" spans="1:6" ht="12.75">
      <c r="A32" s="11">
        <v>1486</v>
      </c>
      <c r="B32" s="5">
        <v>3088.2192</v>
      </c>
      <c r="E32" s="5">
        <f>B32+C32+D32</f>
        <v>3088.2192</v>
      </c>
      <c r="F32" s="5">
        <v>3462.5488</v>
      </c>
    </row>
    <row r="33" spans="1:6" ht="12.75">
      <c r="A33" s="11">
        <v>1487</v>
      </c>
      <c r="B33" s="5">
        <v>1965.2304</v>
      </c>
      <c r="E33" s="5">
        <f>B33+C33+D33</f>
        <v>1965.2304</v>
      </c>
      <c r="F33" s="5">
        <v>3462.5488</v>
      </c>
    </row>
    <row r="34" spans="1:6" ht="12.75">
      <c r="A34" s="11">
        <v>1488</v>
      </c>
      <c r="B34" s="5">
        <v>2058.8128</v>
      </c>
      <c r="E34" s="5">
        <f>B34+C34+D34</f>
        <v>2058.8128</v>
      </c>
      <c r="F34" s="5">
        <v>2994.6367999999998</v>
      </c>
    </row>
    <row r="35" spans="1:6" ht="12.75">
      <c r="A35" s="11">
        <v>1489</v>
      </c>
      <c r="B35" s="5">
        <v>842.2416</v>
      </c>
      <c r="E35" s="5">
        <f>B35+C35+D35</f>
        <v>842.2416</v>
      </c>
      <c r="F35" s="5">
        <v>1684.4832</v>
      </c>
    </row>
    <row r="36" spans="1:6" ht="12.75">
      <c r="A36" s="11">
        <v>1490</v>
      </c>
      <c r="B36" s="5">
        <v>1965.2304</v>
      </c>
      <c r="E36" s="5">
        <f>B36+C36+D36</f>
        <v>1965.2304</v>
      </c>
      <c r="F36" s="5">
        <v>2245.9776</v>
      </c>
    </row>
    <row r="37" spans="1:2" ht="12.75">
      <c r="A37" s="11"/>
      <c r="B37" s="5"/>
    </row>
    <row r="38" spans="1:6" ht="12.75">
      <c r="A38" s="11" t="s">
        <v>26</v>
      </c>
      <c r="B38" s="5">
        <f>SUM(B32:B37)/5</f>
        <v>1983.94688</v>
      </c>
      <c r="E38" s="5">
        <f>B38+C38+D38</f>
        <v>1983.94688</v>
      </c>
      <c r="F38" s="5">
        <f>SUM(F32:F37)/5</f>
        <v>2770.03904</v>
      </c>
    </row>
    <row r="39" spans="1:2" ht="12.75">
      <c r="A39" s="11"/>
      <c r="B39" s="5"/>
    </row>
    <row r="40" spans="1:6" ht="12.75">
      <c r="A40" s="11">
        <v>1491</v>
      </c>
      <c r="B40" s="5">
        <v>3181.8016</v>
      </c>
      <c r="E40" s="5">
        <f>B40+C40+D40</f>
        <v>3181.8016</v>
      </c>
      <c r="F40" s="5">
        <v>4024.0432</v>
      </c>
    </row>
    <row r="41" spans="1:6" ht="12.75">
      <c r="A41" s="11">
        <v>1492</v>
      </c>
      <c r="B41" s="5">
        <v>2526.7248</v>
      </c>
      <c r="C41" s="5">
        <v>187.16479999999999</v>
      </c>
      <c r="E41" s="5">
        <f>B41+C41+D41</f>
        <v>2713.8896</v>
      </c>
      <c r="F41" s="5">
        <v>3298.7796</v>
      </c>
    </row>
    <row r="42" spans="1:6" ht="12.75">
      <c r="A42" s="11">
        <v>1493</v>
      </c>
      <c r="B42" s="5">
        <v>2058.8128</v>
      </c>
      <c r="C42" s="5">
        <v>93.58239999999999</v>
      </c>
      <c r="E42" s="5">
        <f>B42+C42+D42</f>
        <v>2152.3952</v>
      </c>
      <c r="F42" s="5">
        <v>3275.384</v>
      </c>
    </row>
    <row r="43" spans="1:11" ht="12.75">
      <c r="A43" s="11">
        <v>1494</v>
      </c>
      <c r="B43" s="5">
        <v>2152.3952</v>
      </c>
      <c r="C43" s="5">
        <v>210.5604</v>
      </c>
      <c r="E43" s="5">
        <f>B43+C43+D43</f>
        <v>2362.9556</v>
      </c>
      <c r="F43" s="5">
        <v>3322.1752</v>
      </c>
      <c r="K43" s="2">
        <v>1957.1246072463052</v>
      </c>
    </row>
    <row r="44" spans="1:11" ht="12.75">
      <c r="A44" s="11">
        <v>1495</v>
      </c>
      <c r="B44" s="5">
        <v>3626.3179999999998</v>
      </c>
      <c r="C44" s="5">
        <v>608.2856</v>
      </c>
      <c r="E44" s="5">
        <f>B44+C44+D44</f>
        <v>4234.6035999999995</v>
      </c>
      <c r="F44" s="5">
        <v>4866.2848</v>
      </c>
      <c r="K44" s="2">
        <v>1957.1246072463052</v>
      </c>
    </row>
    <row r="45" spans="1:11" ht="12.75">
      <c r="A45" s="11"/>
      <c r="B45" s="5"/>
      <c r="C45" s="5"/>
      <c r="K45" s="5"/>
    </row>
    <row r="46" spans="1:11" ht="12.75">
      <c r="A46" s="11" t="s">
        <v>31</v>
      </c>
      <c r="B46" s="5">
        <f>SUM(B40:B45)/5</f>
        <v>2709.21048</v>
      </c>
      <c r="C46" s="5">
        <f>SUM(C41:C45)/4</f>
        <v>274.8983</v>
      </c>
      <c r="E46" s="5">
        <f>B46+C46+D46</f>
        <v>2984.10878</v>
      </c>
      <c r="F46" s="5">
        <f>SUM(F40:F45)/5</f>
        <v>3757.3333599999996</v>
      </c>
      <c r="K46" s="2">
        <v>1957.1246072463052</v>
      </c>
    </row>
    <row r="47" spans="1:11" ht="12.75">
      <c r="A47" s="11"/>
      <c r="B47" s="5"/>
      <c r="C47" s="5"/>
      <c r="K47" s="2"/>
    </row>
    <row r="48" spans="1:11" ht="12.75">
      <c r="A48" s="11">
        <v>1496</v>
      </c>
      <c r="B48" s="5">
        <v>2152.3952</v>
      </c>
      <c r="C48" s="5">
        <v>538.0988</v>
      </c>
      <c r="E48" s="5">
        <f>B48+C48+D48</f>
        <v>2690.4939999999997</v>
      </c>
      <c r="F48" s="5">
        <v>3649.7136</v>
      </c>
      <c r="K48" s="2">
        <v>1957.1246072463052</v>
      </c>
    </row>
    <row r="49" spans="1:11" ht="12.75">
      <c r="A49" s="11">
        <v>1497</v>
      </c>
      <c r="B49" s="5">
        <v>1450.5272</v>
      </c>
      <c r="C49" s="5">
        <v>2245.9776</v>
      </c>
      <c r="E49" s="5">
        <f>B49+C49+D49</f>
        <v>3696.5048</v>
      </c>
      <c r="F49" s="5">
        <v>4211.208</v>
      </c>
      <c r="K49" s="2">
        <v>1957.1246072463052</v>
      </c>
    </row>
    <row r="50" spans="1:11" ht="12.75">
      <c r="A50" s="11">
        <v>1498</v>
      </c>
      <c r="B50" s="5">
        <v>1684.4832</v>
      </c>
      <c r="C50" s="5">
        <v>2807.4719999999998</v>
      </c>
      <c r="E50" s="5">
        <f>B50+C50+D50</f>
        <v>4491.955199999999</v>
      </c>
      <c r="F50" s="5">
        <v>4585.5376</v>
      </c>
      <c r="K50" s="2">
        <v>1957.1246072463052</v>
      </c>
    </row>
    <row r="51" spans="1:11" ht="12.75">
      <c r="A51" s="11">
        <v>1499</v>
      </c>
      <c r="B51" s="5">
        <v>1778.0656</v>
      </c>
      <c r="C51" s="5">
        <v>3111.6148</v>
      </c>
      <c r="E51" s="5">
        <f>B51+C51+D51</f>
        <v>4889.680399999999</v>
      </c>
      <c r="F51" s="5">
        <v>5895.6912</v>
      </c>
      <c r="K51" s="2">
        <v>1957.1246072463052</v>
      </c>
    </row>
    <row r="52" spans="1:11" ht="12.75">
      <c r="A52" s="11">
        <v>1500</v>
      </c>
      <c r="B52" s="5">
        <v>1029.4064</v>
      </c>
      <c r="C52" s="5">
        <v>2901.0544</v>
      </c>
      <c r="E52" s="5">
        <f>B52+C52+D52</f>
        <v>3930.4608</v>
      </c>
      <c r="F52" s="5">
        <v>4866.2848</v>
      </c>
      <c r="K52" s="2">
        <v>1957.1246072463052</v>
      </c>
    </row>
    <row r="53" spans="1:11" ht="12.75">
      <c r="A53" s="11"/>
      <c r="B53" s="5"/>
      <c r="C53" s="5"/>
      <c r="K53" s="5"/>
    </row>
    <row r="54" spans="1:11" ht="12.75">
      <c r="A54" s="11" t="s">
        <v>33</v>
      </c>
      <c r="B54" s="5">
        <f>SUM(B48:B53)/5</f>
        <v>1618.97552</v>
      </c>
      <c r="C54" s="5">
        <f>SUM(C48:C53)/5</f>
        <v>2320.84352</v>
      </c>
      <c r="E54" s="5">
        <f>B54+C54+D54</f>
        <v>3939.81904</v>
      </c>
      <c r="F54" s="5">
        <f>SUM(F48:F53)/5</f>
        <v>4641.68704</v>
      </c>
      <c r="K54" s="5">
        <f>SUM(K48:K53)/5</f>
        <v>1957.124607246305</v>
      </c>
    </row>
    <row r="55" spans="1:11" ht="12.75">
      <c r="A55" s="11"/>
      <c r="B55" s="5"/>
      <c r="C55" s="5"/>
      <c r="K55" s="5"/>
    </row>
    <row r="56" spans="1:11" ht="12.75">
      <c r="A56" s="11">
        <v>1501</v>
      </c>
      <c r="B56" s="5">
        <v>1497.3183999999999</v>
      </c>
      <c r="C56" s="5">
        <v>6246.6251999999995</v>
      </c>
      <c r="E56" s="5">
        <f>B56+C56+D56</f>
        <v>7743.9436</v>
      </c>
      <c r="F56" s="5">
        <v>8258.6468</v>
      </c>
      <c r="K56" s="2">
        <v>1957.1246072463052</v>
      </c>
    </row>
    <row r="57" spans="1:11" ht="12.75">
      <c r="A57" s="11">
        <v>1502</v>
      </c>
      <c r="B57" s="5">
        <v>1965.2304</v>
      </c>
      <c r="C57" s="5">
        <v>5895.6912</v>
      </c>
      <c r="E57" s="5">
        <f>B57+C57+D57</f>
        <v>7860.9216</v>
      </c>
      <c r="F57" s="5">
        <v>8937.1192</v>
      </c>
      <c r="K57" s="2">
        <v>1957.1246072463052</v>
      </c>
    </row>
    <row r="58" spans="1:11" ht="12.75">
      <c r="A58" s="11">
        <v>1503</v>
      </c>
      <c r="B58" s="5">
        <v>1590.9008</v>
      </c>
      <c r="C58" s="5">
        <v>6433.79</v>
      </c>
      <c r="E58" s="5">
        <f>B58+C58+D58</f>
        <v>8024.6908</v>
      </c>
      <c r="F58" s="5">
        <v>9077.4928</v>
      </c>
      <c r="K58" s="2">
        <v>1957.1246072463052</v>
      </c>
    </row>
    <row r="59" spans="1:11" ht="12.75">
      <c r="A59" s="11">
        <v>1504</v>
      </c>
      <c r="B59" s="5">
        <v>2292.7688</v>
      </c>
      <c r="C59" s="5">
        <v>5427.7792</v>
      </c>
      <c r="E59" s="5">
        <f>B59+C59+D59</f>
        <v>7720.548</v>
      </c>
      <c r="F59" s="5">
        <v>9358.24</v>
      </c>
      <c r="K59" s="2">
        <v>4240.4804973243645</v>
      </c>
    </row>
    <row r="60" spans="1:11" ht="12.75">
      <c r="A60" s="11">
        <v>1505</v>
      </c>
      <c r="B60" s="5">
        <v>2152.3952</v>
      </c>
      <c r="C60" s="5">
        <v>5240.6144</v>
      </c>
      <c r="E60" s="5">
        <f>B60+C60+D60</f>
        <v>7393.0096</v>
      </c>
      <c r="F60" s="5">
        <v>9264.6576</v>
      </c>
      <c r="K60" s="2">
        <v>4240.4804973243645</v>
      </c>
    </row>
    <row r="61" spans="1:11" ht="12.75">
      <c r="A61" s="11"/>
      <c r="B61" s="5"/>
      <c r="C61" s="5"/>
      <c r="K61" s="5"/>
    </row>
    <row r="62" spans="1:11" ht="12.75">
      <c r="A62" s="11" t="s">
        <v>36</v>
      </c>
      <c r="B62" s="5">
        <f>SUM(B56:B61)/5</f>
        <v>1899.7227200000002</v>
      </c>
      <c r="C62" s="5">
        <f>SUM(C56:C61)/5</f>
        <v>5848.9</v>
      </c>
      <c r="E62" s="5">
        <f>B62+C62+D62</f>
        <v>7748.622719999999</v>
      </c>
      <c r="F62" s="5">
        <f>SUM(F56:F61)/5</f>
        <v>8979.23128</v>
      </c>
      <c r="K62" s="5">
        <f>SUM(K56:K61)/5</f>
        <v>2870.466963277529</v>
      </c>
    </row>
    <row r="63" spans="1:11" ht="12.75">
      <c r="A63" s="11"/>
      <c r="B63" s="5"/>
      <c r="C63" s="5"/>
      <c r="K63" s="5"/>
    </row>
    <row r="64" spans="1:11" ht="12.75">
      <c r="A64" s="11">
        <v>1506</v>
      </c>
      <c r="B64" s="5">
        <v>1684.4832</v>
      </c>
      <c r="C64" s="5">
        <v>4866.2848</v>
      </c>
      <c r="E64" s="5">
        <f>B64+C64+D64</f>
        <v>6550.768</v>
      </c>
      <c r="F64" s="5">
        <v>7580.1744</v>
      </c>
      <c r="G64" s="5">
        <v>70.2803824</v>
      </c>
      <c r="H64" s="5">
        <v>4304.0651364000005</v>
      </c>
      <c r="I64" s="5">
        <f>G64+H64</f>
        <v>4374.345518800001</v>
      </c>
      <c r="J64" s="5"/>
      <c r="K64" s="2">
        <v>4240.4804973243645</v>
      </c>
    </row>
    <row r="65" spans="1:11" ht="12.75">
      <c r="A65" s="11">
        <v>1507</v>
      </c>
      <c r="B65" s="5">
        <v>1661.0876</v>
      </c>
      <c r="C65" s="5">
        <v>4445.164</v>
      </c>
      <c r="E65" s="5">
        <f>B65+C65+D65</f>
        <v>6106.2516</v>
      </c>
      <c r="F65" s="5">
        <v>7603.57</v>
      </c>
      <c r="G65" s="5">
        <f>(G64+G66)/2</f>
        <v>72.9591786</v>
      </c>
      <c r="H65" s="5">
        <f>(H64+H66)/2</f>
        <v>4525.855424400001</v>
      </c>
      <c r="I65" s="5">
        <f>G65+H65</f>
        <v>4598.814603000001</v>
      </c>
      <c r="J65" s="5"/>
      <c r="K65" s="2">
        <v>3722.1937012126264</v>
      </c>
    </row>
    <row r="66" spans="1:11" ht="12.75">
      <c r="A66" s="11">
        <v>1508</v>
      </c>
      <c r="B66" s="5">
        <v>1169.78</v>
      </c>
      <c r="C66" s="5">
        <v>4304.7904</v>
      </c>
      <c r="E66" s="5">
        <f>B66+C66+D66</f>
        <v>5474.5704</v>
      </c>
      <c r="F66" s="5">
        <v>6457.1856</v>
      </c>
      <c r="G66" s="5">
        <v>75.6379748</v>
      </c>
      <c r="H66" s="5">
        <v>4747.6457124</v>
      </c>
      <c r="I66" s="5">
        <f>G66+H66</f>
        <v>4823.2836872</v>
      </c>
      <c r="J66" s="5"/>
      <c r="K66" s="2">
        <v>3722.1937012126264</v>
      </c>
    </row>
    <row r="67" spans="1:11" ht="12.75">
      <c r="A67" s="11">
        <v>1509</v>
      </c>
      <c r="B67" s="5">
        <v>1520.714</v>
      </c>
      <c r="C67" s="5">
        <v>4772.7024</v>
      </c>
      <c r="E67" s="5">
        <f>B67+C67+D67</f>
        <v>6293.4164</v>
      </c>
      <c r="F67" s="5">
        <v>7720.548</v>
      </c>
      <c r="G67" s="5">
        <v>69.71888799999999</v>
      </c>
      <c r="H67" s="5">
        <v>4276.7390755999995</v>
      </c>
      <c r="I67" s="5">
        <f>G67+H67</f>
        <v>4346.4579636</v>
      </c>
      <c r="J67" s="5"/>
      <c r="K67" s="2">
        <v>3722.1937012126264</v>
      </c>
    </row>
    <row r="68" spans="1:11" ht="12.75">
      <c r="A68" s="11">
        <v>1510</v>
      </c>
      <c r="B68" s="5">
        <v>1216.5712</v>
      </c>
      <c r="C68" s="5">
        <v>4866.2848</v>
      </c>
      <c r="E68" s="5">
        <f>B68+C68+D68</f>
        <v>6082.856000000001</v>
      </c>
      <c r="F68" s="5">
        <v>7720.548</v>
      </c>
      <c r="G68" s="5">
        <f>(G67+G73)/2</f>
        <v>127.2018772</v>
      </c>
      <c r="H68" s="5">
        <f>(H67+H73)/2</f>
        <v>4860.845323</v>
      </c>
      <c r="I68" s="5">
        <f>G68+H68</f>
        <v>4988.0472002</v>
      </c>
      <c r="J68" s="5"/>
      <c r="K68" s="2">
        <v>4546.716959595463</v>
      </c>
    </row>
    <row r="69" spans="1:11" ht="12.75">
      <c r="A69" s="11"/>
      <c r="B69" s="5"/>
      <c r="C69" s="5"/>
      <c r="G69" s="5"/>
      <c r="H69" s="5"/>
      <c r="I69" s="5"/>
      <c r="J69" s="5"/>
      <c r="K69" s="5"/>
    </row>
    <row r="70" spans="1:11" ht="12.75">
      <c r="A70" s="11" t="s">
        <v>40</v>
      </c>
      <c r="B70" s="5">
        <f>SUM(B64:B69)/5</f>
        <v>1450.5272</v>
      </c>
      <c r="C70" s="5">
        <f>SUM(C64:C69)/5</f>
        <v>4651.04528</v>
      </c>
      <c r="E70" s="5">
        <f>B70+C70+D70</f>
        <v>6101.572480000001</v>
      </c>
      <c r="F70" s="5">
        <f>SUM(F64:F69)/5</f>
        <v>7416.405199999999</v>
      </c>
      <c r="G70" s="5">
        <f>SUM(G64:G69)/5</f>
        <v>83.15966019999999</v>
      </c>
      <c r="H70" s="5">
        <f>SUM(H64:H69)/5</f>
        <v>4543.03013436</v>
      </c>
      <c r="I70" s="5">
        <f>G70+H70</f>
        <v>4626.18979456</v>
      </c>
      <c r="J70" s="5"/>
      <c r="K70" s="5">
        <f>SUM(K64:K69)/5</f>
        <v>3990.755712111541</v>
      </c>
    </row>
    <row r="71" spans="1:11" ht="12.75">
      <c r="A71" s="11"/>
      <c r="B71" s="5"/>
      <c r="C71" s="5"/>
      <c r="G71" s="5"/>
      <c r="H71" s="5"/>
      <c r="I71" s="5"/>
      <c r="J71" s="5"/>
      <c r="K71" s="5"/>
    </row>
    <row r="72" spans="1:11" ht="12.75">
      <c r="A72" s="11">
        <v>1511</v>
      </c>
      <c r="B72" s="5">
        <v>1637.692</v>
      </c>
      <c r="C72" s="5">
        <v>4070.8343999999997</v>
      </c>
      <c r="E72" s="5">
        <f>B72+C72+D72</f>
        <v>5708.5264</v>
      </c>
      <c r="F72" s="5">
        <v>6831.5152</v>
      </c>
      <c r="G72" s="5">
        <f>(G68+G73)/2</f>
        <v>155.9433718</v>
      </c>
      <c r="H72" s="5">
        <f>(H68+H73)/2</f>
        <v>5152.8984467</v>
      </c>
      <c r="I72" s="5">
        <f>G72+H72</f>
        <v>5308.8418185</v>
      </c>
      <c r="J72" s="5"/>
      <c r="K72" s="2">
        <v>4546.716959595463</v>
      </c>
    </row>
    <row r="73" spans="1:11" ht="12.75">
      <c r="A73" s="11">
        <v>1512</v>
      </c>
      <c r="B73" s="5">
        <v>2994.6367999999998</v>
      </c>
      <c r="C73" s="5">
        <v>4024.0432</v>
      </c>
      <c r="E73" s="5">
        <f>B73+C73+D73</f>
        <v>7018.68</v>
      </c>
      <c r="F73" s="5">
        <v>7860.9216</v>
      </c>
      <c r="G73" s="5">
        <v>184.6848664</v>
      </c>
      <c r="H73" s="5">
        <v>5444.9515704000005</v>
      </c>
      <c r="I73" s="5">
        <f>G73+H73</f>
        <v>5629.6364368</v>
      </c>
      <c r="J73" s="5"/>
      <c r="K73" s="2">
        <v>4546.716959595463</v>
      </c>
    </row>
    <row r="74" spans="1:11" ht="12.75">
      <c r="A74" s="11">
        <v>1513</v>
      </c>
      <c r="B74" s="5">
        <v>1216.5712</v>
      </c>
      <c r="C74" s="5">
        <v>6831.5152</v>
      </c>
      <c r="E74" s="5">
        <f>B74+C74+D74</f>
        <v>8048.0864</v>
      </c>
      <c r="F74" s="5">
        <v>8048.0864</v>
      </c>
      <c r="G74" s="5">
        <v>193.5284032</v>
      </c>
      <c r="H74" s="5">
        <v>5706.0932576</v>
      </c>
      <c r="I74" s="5">
        <f>G74+H74</f>
        <v>5899.6216607999995</v>
      </c>
      <c r="J74" s="5"/>
      <c r="K74" s="2">
        <v>3022.37498158967</v>
      </c>
    </row>
    <row r="75" spans="1:11" ht="12.75">
      <c r="A75" s="11">
        <v>1514</v>
      </c>
      <c r="B75" s="5">
        <v>1052.802</v>
      </c>
      <c r="C75" s="5">
        <v>5427.7792</v>
      </c>
      <c r="E75" s="5">
        <f>B75+C75+D75</f>
        <v>6480.5812</v>
      </c>
      <c r="F75" s="5">
        <v>7486.592</v>
      </c>
      <c r="G75" s="5">
        <v>187.16479999999999</v>
      </c>
      <c r="H75" s="5">
        <v>5666.180364</v>
      </c>
      <c r="I75" s="5">
        <f>G75+H75</f>
        <v>5853.345163999999</v>
      </c>
      <c r="J75" s="5"/>
      <c r="K75" s="2">
        <v>3022.37498158967</v>
      </c>
    </row>
    <row r="76" spans="1:11" ht="12.75">
      <c r="A76" s="11">
        <v>1515</v>
      </c>
      <c r="B76" s="5">
        <v>1216.5712</v>
      </c>
      <c r="C76" s="5">
        <v>2386.3512</v>
      </c>
      <c r="E76" s="5">
        <f>B76+C76+D76</f>
        <v>3602.9224000000004</v>
      </c>
      <c r="F76" s="5">
        <v>4398.3728</v>
      </c>
      <c r="G76" s="5">
        <v>194.18348</v>
      </c>
      <c r="H76" s="5">
        <v>5681.4576908</v>
      </c>
      <c r="I76" s="5">
        <f>G76+H76</f>
        <v>5875.6411708</v>
      </c>
      <c r="J76" s="5"/>
      <c r="K76" s="2">
        <v>3022.37498158967</v>
      </c>
    </row>
    <row r="77" spans="1:11" ht="12.75">
      <c r="A77" s="11"/>
      <c r="B77" s="5"/>
      <c r="C77" s="5"/>
      <c r="G77" s="5"/>
      <c r="H77" s="5"/>
      <c r="I77" s="5"/>
      <c r="J77" s="5"/>
      <c r="K77" s="5"/>
    </row>
    <row r="78" spans="1:11" ht="12.75">
      <c r="A78" s="11" t="s">
        <v>43</v>
      </c>
      <c r="B78" s="5">
        <f>SUM(B72:B77)/5</f>
        <v>1623.65464</v>
      </c>
      <c r="C78" s="5">
        <f>SUM(C72:C77)/5</f>
        <v>4548.10464</v>
      </c>
      <c r="E78" s="5">
        <f>B78+C78+D78</f>
        <v>6171.759279999999</v>
      </c>
      <c r="F78" s="5">
        <f>SUM(F72:F77)/5</f>
        <v>6925.097599999999</v>
      </c>
      <c r="G78" s="5">
        <f>SUM(G72:G77)/5</f>
        <v>183.10098428</v>
      </c>
      <c r="H78" s="5">
        <f>SUM(H72:H77)/5</f>
        <v>5530.316265900001</v>
      </c>
      <c r="I78" s="5">
        <f>G78+H78</f>
        <v>5713.417250180001</v>
      </c>
      <c r="J78" s="5"/>
      <c r="K78" s="5">
        <f>SUM(K72:K77)/5</f>
        <v>3632.1117727919873</v>
      </c>
    </row>
    <row r="79" spans="1:11" ht="12.75">
      <c r="A79" s="11"/>
      <c r="B79" s="5"/>
      <c r="C79" s="5"/>
      <c r="G79" s="5"/>
      <c r="H79" s="5"/>
      <c r="I79" s="5"/>
      <c r="J79" s="5"/>
      <c r="K79" s="5"/>
    </row>
    <row r="80" spans="1:11" ht="12.75">
      <c r="A80" s="11">
        <v>1516</v>
      </c>
      <c r="B80" s="5">
        <v>1193.1756</v>
      </c>
      <c r="C80" s="5">
        <v>2433.1424</v>
      </c>
      <c r="E80" s="5">
        <f>B80+C80+D80</f>
        <v>3626.318</v>
      </c>
      <c r="F80" s="5">
        <v>3836.8784</v>
      </c>
      <c r="G80" s="5">
        <f>(G76+G83)/2</f>
        <v>193.30614500000001</v>
      </c>
      <c r="H80" s="5">
        <f>(H76+H83)/2</f>
        <v>5857.5914654</v>
      </c>
      <c r="I80" s="5">
        <f>G80+H80</f>
        <v>6050.897610399999</v>
      </c>
      <c r="J80" s="5">
        <v>47.549512920000005</v>
      </c>
      <c r="K80" s="2">
        <v>1647.467978300358</v>
      </c>
    </row>
    <row r="81" spans="1:11" ht="12.75">
      <c r="A81" s="11">
        <v>1517</v>
      </c>
      <c r="B81" s="5">
        <v>1356.9448</v>
      </c>
      <c r="C81" s="5">
        <v>6082.856</v>
      </c>
      <c r="E81" s="5">
        <f>B81+C81+D81</f>
        <v>7439.8008</v>
      </c>
      <c r="F81" s="5">
        <v>7580.1744</v>
      </c>
      <c r="G81" s="5">
        <v>193.30614500000001</v>
      </c>
      <c r="H81" s="5">
        <v>5857.5914654</v>
      </c>
      <c r="I81" s="5">
        <f>G81+H81</f>
        <v>6050.897610399999</v>
      </c>
      <c r="J81" s="5">
        <v>984.08941176</v>
      </c>
      <c r="K81" s="2">
        <v>1647.467978300358</v>
      </c>
    </row>
    <row r="82" spans="1:11" ht="12.75">
      <c r="A82" s="11">
        <v>1518</v>
      </c>
      <c r="B82" s="5">
        <v>1076.1976</v>
      </c>
      <c r="C82" s="5">
        <v>3836.8784</v>
      </c>
      <c r="E82" s="5">
        <f>B82+C82+D82</f>
        <v>4913.076</v>
      </c>
      <c r="F82" s="5">
        <v>5264.01</v>
      </c>
      <c r="G82" s="5">
        <v>193.30614500000001</v>
      </c>
      <c r="H82" s="5">
        <v>5857.5914654</v>
      </c>
      <c r="I82" s="5">
        <f>G82+H82</f>
        <v>6050.897610399999</v>
      </c>
      <c r="J82" s="5">
        <v>3614.61333324</v>
      </c>
      <c r="K82" s="2">
        <v>1647.467978300358</v>
      </c>
    </row>
    <row r="83" spans="1:11" ht="12.75">
      <c r="A83" s="11">
        <v>1519</v>
      </c>
      <c r="B83" s="5">
        <v>865.6372</v>
      </c>
      <c r="C83" s="5">
        <v>2807.4719999999998</v>
      </c>
      <c r="E83" s="5">
        <f>B83+C83+D83</f>
        <v>3673.1092</v>
      </c>
      <c r="F83" s="5">
        <v>4772.7024</v>
      </c>
      <c r="G83" s="5">
        <v>192.42881</v>
      </c>
      <c r="H83" s="5">
        <v>6033.72524</v>
      </c>
      <c r="I83" s="5">
        <f>G83+H83</f>
        <v>6226.15405</v>
      </c>
      <c r="J83" s="5">
        <v>6214.56389736</v>
      </c>
      <c r="K83" s="2">
        <v>2486.461172615248</v>
      </c>
    </row>
    <row r="84" spans="1:11" ht="12.75">
      <c r="A84" s="11">
        <v>1520</v>
      </c>
      <c r="B84" s="5">
        <v>889.0328</v>
      </c>
      <c r="C84" s="5">
        <v>2713.8896</v>
      </c>
      <c r="E84" s="5">
        <f>B84+C84+D84</f>
        <v>3602.9224</v>
      </c>
      <c r="F84" s="5">
        <v>4491.9552</v>
      </c>
      <c r="G84" s="5">
        <f>(G83+G89)/2</f>
        <v>198.59355060000001</v>
      </c>
      <c r="H84" s="5">
        <f>(H83+H89)/2</f>
        <v>5819.713989</v>
      </c>
      <c r="I84" s="5">
        <f>G84+H84</f>
        <v>6018.3075395999995</v>
      </c>
      <c r="J84" s="5">
        <v>8989.17044844</v>
      </c>
      <c r="K84" s="2">
        <v>2486.461172615248</v>
      </c>
    </row>
    <row r="85" spans="1:11" ht="12.75">
      <c r="A85" s="11"/>
      <c r="B85" s="5"/>
      <c r="C85" s="5"/>
      <c r="G85" s="5"/>
      <c r="H85" s="5"/>
      <c r="I85" s="5"/>
      <c r="J85" s="5"/>
      <c r="K85" s="5"/>
    </row>
    <row r="86" spans="1:11" ht="12.75">
      <c r="A86" s="11" t="s">
        <v>46</v>
      </c>
      <c r="B86" s="5">
        <f>SUM(B80:B85)/5</f>
        <v>1076.1976</v>
      </c>
      <c r="C86" s="5">
        <f>SUM(C80:C85)/5</f>
        <v>3574.84768</v>
      </c>
      <c r="E86" s="5">
        <f>B86+C86+D86</f>
        <v>4651.04528</v>
      </c>
      <c r="F86" s="5">
        <f>SUM(F80:F85)/5</f>
        <v>5189.14408</v>
      </c>
      <c r="G86" s="5">
        <f>SUM(G80:G85)/5</f>
        <v>194.18815912</v>
      </c>
      <c r="H86" s="5">
        <f>SUM(H80:H85)/5</f>
        <v>5885.24272504</v>
      </c>
      <c r="I86" s="5">
        <f>G86+H86</f>
        <v>6079.43088416</v>
      </c>
      <c r="J86" s="5">
        <f>SUM(J80:J85)/5</f>
        <v>3969.9973207439994</v>
      </c>
      <c r="K86" s="5">
        <f>SUM(K80:K85)/5</f>
        <v>1983.065256026314</v>
      </c>
    </row>
    <row r="87" spans="1:11" ht="12.75">
      <c r="A87" s="11"/>
      <c r="B87" s="5"/>
      <c r="C87" s="5"/>
      <c r="G87" s="5"/>
      <c r="H87" s="5"/>
      <c r="I87" s="5"/>
      <c r="J87" s="5"/>
      <c r="K87" s="5"/>
    </row>
    <row r="88" spans="1:11" ht="12.75">
      <c r="A88" s="11">
        <v>1521</v>
      </c>
      <c r="B88" s="5">
        <v>538.0988</v>
      </c>
      <c r="C88" s="5">
        <v>2971.2412</v>
      </c>
      <c r="E88" s="5">
        <f>B88+C88+D88</f>
        <v>3509.34</v>
      </c>
      <c r="F88" s="5">
        <v>4328.186</v>
      </c>
      <c r="G88" s="5">
        <f>(G84+G89)/2</f>
        <v>201.6759209</v>
      </c>
      <c r="H88" s="5">
        <f>(H84+H89)/2</f>
        <v>5712.7083635</v>
      </c>
      <c r="I88" s="5">
        <f>G88+H88</f>
        <v>5914.3842844</v>
      </c>
      <c r="J88" s="5">
        <v>9358.761757799999</v>
      </c>
      <c r="K88" s="2">
        <v>2486.461172615248</v>
      </c>
    </row>
    <row r="89" spans="1:11" ht="12.75">
      <c r="A89" s="11">
        <v>1522</v>
      </c>
      <c r="B89" s="5">
        <v>678.4724</v>
      </c>
      <c r="C89" s="5">
        <v>2526.7248</v>
      </c>
      <c r="E89" s="5">
        <f>B89+C89+D89</f>
        <v>3205.1972</v>
      </c>
      <c r="F89" s="5">
        <v>3743.296</v>
      </c>
      <c r="G89" s="5">
        <v>204.7582912</v>
      </c>
      <c r="H89" s="5">
        <v>5605.702738</v>
      </c>
      <c r="I89" s="5">
        <f>G89+H89</f>
        <v>5810.4610292</v>
      </c>
      <c r="J89" s="5">
        <v>8318.20957968</v>
      </c>
      <c r="K89" s="2">
        <v>2486.461172615248</v>
      </c>
    </row>
    <row r="90" spans="1:11" ht="12.75">
      <c r="A90" s="11">
        <v>1523</v>
      </c>
      <c r="B90" s="5">
        <v>467.912</v>
      </c>
      <c r="C90" s="5">
        <v>2292.7688</v>
      </c>
      <c r="E90" s="5">
        <f>B90+C90+D90</f>
        <v>2760.6807999999996</v>
      </c>
      <c r="F90" s="5">
        <v>3181.8016</v>
      </c>
      <c r="G90" s="5">
        <v>202.9100388</v>
      </c>
      <c r="H90" s="5">
        <v>5544.4764528</v>
      </c>
      <c r="I90" s="5">
        <f>G90+H90</f>
        <v>5747.386491599999</v>
      </c>
      <c r="J90" s="5">
        <v>9900.070711440001</v>
      </c>
      <c r="K90" s="2">
        <v>2486.461172615248</v>
      </c>
    </row>
    <row r="91" spans="1:11" ht="12.75">
      <c r="A91" s="11">
        <v>1524</v>
      </c>
      <c r="B91" s="5">
        <v>210.5604</v>
      </c>
      <c r="C91" s="5">
        <v>2854.2632</v>
      </c>
      <c r="D91" s="5">
        <v>93.58239999999999</v>
      </c>
      <c r="E91" s="5">
        <f>B91+C91+D91</f>
        <v>3158.4059999999995</v>
      </c>
      <c r="F91" s="5">
        <v>3556.1312</v>
      </c>
      <c r="G91" s="5">
        <v>244.367042</v>
      </c>
      <c r="H91" s="5">
        <v>6690.275962799999</v>
      </c>
      <c r="I91" s="5">
        <f>G91+H91</f>
        <v>6934.643004799999</v>
      </c>
      <c r="J91" s="5">
        <v>11572.616338920001</v>
      </c>
      <c r="K91" s="2">
        <v>2486.461172615248</v>
      </c>
    </row>
    <row r="92" spans="1:11" ht="12.75">
      <c r="A92" s="11">
        <v>1525</v>
      </c>
      <c r="B92" s="5">
        <v>467.912</v>
      </c>
      <c r="C92" s="5">
        <v>2433.1424</v>
      </c>
      <c r="D92" s="5">
        <v>93.58239999999999</v>
      </c>
      <c r="E92" s="5">
        <f>B92+C92+D92</f>
        <v>2994.6367999999998</v>
      </c>
      <c r="F92" s="5">
        <v>3696.5048</v>
      </c>
      <c r="G92" s="5">
        <f>(G91+G96)/2</f>
        <v>263.7619944</v>
      </c>
      <c r="H92" s="5">
        <f>(H90+H96)/2</f>
        <v>6837.995781199999</v>
      </c>
      <c r="I92" s="5">
        <f>G92+H92</f>
        <v>7101.757775599999</v>
      </c>
      <c r="J92" s="5">
        <v>9366.5215644</v>
      </c>
      <c r="K92" s="2">
        <v>2486.461172615248</v>
      </c>
    </row>
    <row r="93" spans="1:11" ht="12.75">
      <c r="A93" s="11"/>
      <c r="B93" s="5"/>
      <c r="C93" s="5"/>
      <c r="D93" s="5"/>
      <c r="G93" s="5"/>
      <c r="H93" s="5"/>
      <c r="I93" s="5"/>
      <c r="J93" s="5"/>
      <c r="K93" s="5"/>
    </row>
    <row r="94" spans="1:11" ht="12.75">
      <c r="A94" s="11" t="s">
        <v>50</v>
      </c>
      <c r="B94" s="5">
        <f>SUM(B88:B93)/5</f>
        <v>472.59111999999993</v>
      </c>
      <c r="C94" s="5">
        <f>SUM(C88:C93)/5</f>
        <v>2615.62808</v>
      </c>
      <c r="D94" s="5">
        <f>SUM(D91:D93)/2</f>
        <v>93.58239999999999</v>
      </c>
      <c r="E94" s="5">
        <f>B94+C94+D94</f>
        <v>3181.8016</v>
      </c>
      <c r="F94" s="5">
        <f>SUM(F88:F93)/5</f>
        <v>3701.1839199999995</v>
      </c>
      <c r="G94" s="5">
        <f>SUM(G88:G93)/5</f>
        <v>223.49465745999996</v>
      </c>
      <c r="H94" s="5">
        <f>SUM(H88:H93)/5</f>
        <v>6078.23185966</v>
      </c>
      <c r="I94" s="5">
        <f>G94+H94</f>
        <v>6301.72651712</v>
      </c>
      <c r="J94" s="5">
        <f>SUM(J88:J93)/5</f>
        <v>9703.235990448</v>
      </c>
      <c r="K94" s="5">
        <f>SUM(K88:K93)/5</f>
        <v>2486.461172615248</v>
      </c>
    </row>
    <row r="95" spans="1:11" ht="12.75">
      <c r="A95" s="11"/>
      <c r="B95" s="5"/>
      <c r="C95" s="5"/>
      <c r="D95" s="5"/>
      <c r="G95" s="5"/>
      <c r="H95" s="5"/>
      <c r="I95" s="5"/>
      <c r="J95" s="5"/>
      <c r="K95" s="5"/>
    </row>
    <row r="96" spans="1:11" ht="12.75">
      <c r="A96" s="11">
        <v>1526</v>
      </c>
      <c r="B96" s="5">
        <v>655.0768</v>
      </c>
      <c r="C96" s="5">
        <v>2690.494</v>
      </c>
      <c r="D96" s="5">
        <v>93.58239999999999</v>
      </c>
      <c r="E96" s="5">
        <f>B96+C96+D96</f>
        <v>3439.1532</v>
      </c>
      <c r="F96" s="5">
        <v>4024.0432</v>
      </c>
      <c r="G96" s="5">
        <v>283.1569468</v>
      </c>
      <c r="H96" s="5">
        <v>8131.5151096</v>
      </c>
      <c r="I96" s="5">
        <f>G96+H96</f>
        <v>8414.6720564</v>
      </c>
      <c r="J96" s="5">
        <v>13777.950568200002</v>
      </c>
      <c r="K96" s="2">
        <v>2269.149043890225</v>
      </c>
    </row>
    <row r="97" spans="1:11" ht="12.75">
      <c r="A97" s="11">
        <v>1527</v>
      </c>
      <c r="B97" s="5">
        <v>467.912</v>
      </c>
      <c r="C97" s="5">
        <v>2222.582</v>
      </c>
      <c r="D97" s="5">
        <v>93.58239999999999</v>
      </c>
      <c r="E97" s="5">
        <f>B97+C97+D97</f>
        <v>2784.0763999999995</v>
      </c>
      <c r="F97" s="5">
        <v>3088.2192</v>
      </c>
      <c r="G97" s="5">
        <v>284.2331444</v>
      </c>
      <c r="H97" s="5">
        <v>7781.7508896</v>
      </c>
      <c r="I97" s="5">
        <f>G97+H97</f>
        <v>8065.984034</v>
      </c>
      <c r="J97" s="5">
        <v>15838.77278256</v>
      </c>
      <c r="K97" s="2">
        <v>2269.149043890225</v>
      </c>
    </row>
    <row r="98" spans="1:11" ht="12.75">
      <c r="A98" s="11">
        <v>1528</v>
      </c>
      <c r="B98" s="5">
        <v>280.7472</v>
      </c>
      <c r="C98" s="5">
        <v>2152.3952</v>
      </c>
      <c r="D98" s="5">
        <v>93.58239999999999</v>
      </c>
      <c r="E98" s="5">
        <f>B98+C98+D98</f>
        <v>2526.7247999999995</v>
      </c>
      <c r="F98" s="5">
        <v>2713.8896</v>
      </c>
      <c r="G98" s="5">
        <f>(G97+G99)/2</f>
        <v>278.9808322</v>
      </c>
      <c r="H98" s="5">
        <f>(H97+H99)/2</f>
        <v>7581.5313448</v>
      </c>
      <c r="I98" s="5">
        <f>G98+H98</f>
        <v>7860.512177</v>
      </c>
      <c r="J98" s="5">
        <v>14978.716793040001</v>
      </c>
      <c r="K98" s="2">
        <v>2269.149043890225</v>
      </c>
    </row>
    <row r="99" spans="1:11" ht="12.75">
      <c r="A99" s="11">
        <v>1529</v>
      </c>
      <c r="B99" s="5">
        <v>374.32959999999997</v>
      </c>
      <c r="C99" s="5">
        <v>2433.1424</v>
      </c>
      <c r="D99" s="5">
        <v>210.5604</v>
      </c>
      <c r="E99" s="5">
        <f>B99+C99+D99</f>
        <v>3018.0324</v>
      </c>
      <c r="F99" s="5">
        <v>3275.384</v>
      </c>
      <c r="G99" s="5">
        <v>273.72852</v>
      </c>
      <c r="H99" s="5">
        <v>7381.3117999999995</v>
      </c>
      <c r="I99" s="5">
        <f>G99+H99</f>
        <v>7655.040319999999</v>
      </c>
      <c r="J99" s="5">
        <v>12154.14719064</v>
      </c>
      <c r="K99" s="2">
        <v>2269.149043890225</v>
      </c>
    </row>
    <row r="100" spans="1:11" ht="12.75">
      <c r="A100" s="11">
        <v>1530</v>
      </c>
      <c r="B100" s="5">
        <v>818.846</v>
      </c>
      <c r="C100" s="5">
        <v>2456.538</v>
      </c>
      <c r="D100" s="5">
        <v>397.7252</v>
      </c>
      <c r="E100" s="5">
        <f>B100+C100+D100</f>
        <v>3673.1092</v>
      </c>
      <c r="F100" s="5">
        <v>4024.0432</v>
      </c>
      <c r="G100" s="5">
        <f>G99-(G98-G99)</f>
        <v>268.4762078</v>
      </c>
      <c r="H100" s="5">
        <f>H99-(H98-H99)</f>
        <v>7181.092255199999</v>
      </c>
      <c r="I100" s="5">
        <f>G100+H100</f>
        <v>7449.568463</v>
      </c>
      <c r="J100" s="5">
        <v>12227.03043744</v>
      </c>
      <c r="K100" s="2">
        <v>2269.149043890225</v>
      </c>
    </row>
    <row r="101" spans="1:11" ht="12.75">
      <c r="A101" s="11"/>
      <c r="B101" s="5"/>
      <c r="C101" s="5"/>
      <c r="D101" s="5"/>
      <c r="G101" s="5"/>
      <c r="H101" s="5"/>
      <c r="I101" s="5"/>
      <c r="J101" s="5"/>
      <c r="K101" s="2"/>
    </row>
    <row r="102" spans="1:11" ht="12.75">
      <c r="A102" s="11" t="s">
        <v>53</v>
      </c>
      <c r="B102" s="5">
        <f>SUM(B96:B101)/5</f>
        <v>519.38232</v>
      </c>
      <c r="C102" s="5">
        <f>SUM(C96:C101)/5</f>
        <v>2391.0303200000003</v>
      </c>
      <c r="D102" s="5">
        <f>SUM(D96:D101)/5</f>
        <v>177.80656</v>
      </c>
      <c r="E102" s="5">
        <f>B102+C102+D102</f>
        <v>3088.2192000000005</v>
      </c>
      <c r="F102" s="5">
        <f>SUM(F96:F101)/5</f>
        <v>3425.11584</v>
      </c>
      <c r="G102" s="5">
        <f>SUM(G96:G101)/5</f>
        <v>277.71513023999995</v>
      </c>
      <c r="H102" s="5">
        <f>SUM(H96:H101)/5</f>
        <v>7611.44027984</v>
      </c>
      <c r="I102" s="5">
        <f>G102+H102</f>
        <v>7889.1554100799995</v>
      </c>
      <c r="J102" s="5">
        <f>SUM(J96:J101)/5</f>
        <v>13795.323554376</v>
      </c>
      <c r="K102" s="5">
        <f>SUM(K96:K101)/5</f>
        <v>2269.149043890225</v>
      </c>
    </row>
    <row r="103" spans="1:11" ht="12.75">
      <c r="A103" s="11"/>
      <c r="B103" s="5"/>
      <c r="C103" s="5"/>
      <c r="D103" s="5"/>
      <c r="G103" s="5"/>
      <c r="H103" s="5"/>
      <c r="I103" s="5"/>
      <c r="J103" s="5"/>
      <c r="K103" s="5"/>
    </row>
    <row r="104" spans="1:11" ht="12.75">
      <c r="A104" s="11">
        <v>1531</v>
      </c>
      <c r="B104" s="5">
        <v>865.6372</v>
      </c>
      <c r="C104" s="5">
        <v>2994.6367999999998</v>
      </c>
      <c r="D104" s="5">
        <v>631.6812</v>
      </c>
      <c r="E104" s="5">
        <f>B104+C104+D104</f>
        <v>4491.9552</v>
      </c>
      <c r="F104" s="5">
        <v>5521.3616</v>
      </c>
      <c r="G104" s="5"/>
      <c r="H104" s="5">
        <v>6300.902992</v>
      </c>
      <c r="I104" s="5">
        <f>G104+H104</f>
        <v>6300.902992</v>
      </c>
      <c r="J104" s="5">
        <v>14175.5248908</v>
      </c>
      <c r="K104" s="2">
        <v>2269.149043890225</v>
      </c>
    </row>
    <row r="105" spans="1:11" ht="12.75">
      <c r="A105" s="11">
        <v>1532</v>
      </c>
      <c r="B105" s="5">
        <v>584.89</v>
      </c>
      <c r="C105" s="5">
        <v>1637.692</v>
      </c>
      <c r="D105" s="5">
        <v>935.824</v>
      </c>
      <c r="E105" s="5">
        <f>B105+C105+D105</f>
        <v>3158.406</v>
      </c>
      <c r="F105" s="5">
        <v>3556.1312</v>
      </c>
      <c r="H105" s="5">
        <v>6300.902992</v>
      </c>
      <c r="I105" s="5">
        <f>G105+H105</f>
        <v>6300.902992</v>
      </c>
      <c r="J105" s="5">
        <v>17691.60972852</v>
      </c>
      <c r="K105" s="2">
        <v>2269.149043890225</v>
      </c>
    </row>
    <row r="106" spans="1:11" ht="12.75">
      <c r="A106" s="11">
        <v>1533</v>
      </c>
      <c r="B106" s="5">
        <v>491.3076</v>
      </c>
      <c r="C106" s="5">
        <v>2643.7028</v>
      </c>
      <c r="D106" s="5">
        <v>655.0768</v>
      </c>
      <c r="E106" s="5">
        <f>B106+C106+D106</f>
        <v>3790.0872</v>
      </c>
      <c r="F106" s="5">
        <v>4024.0432</v>
      </c>
      <c r="H106" s="5">
        <v>6300.902992</v>
      </c>
      <c r="I106" s="5">
        <f>G106+H106</f>
        <v>6300.902992</v>
      </c>
      <c r="J106" s="5">
        <v>20130.243315</v>
      </c>
      <c r="K106" s="2">
        <v>2269.149043890225</v>
      </c>
    </row>
    <row r="107" spans="1:11" ht="12.75">
      <c r="A107" s="11">
        <v>1534</v>
      </c>
      <c r="B107" s="5">
        <v>1707.8788</v>
      </c>
      <c r="C107" s="5">
        <v>4585.5376</v>
      </c>
      <c r="D107" s="5">
        <v>374.32959999999997</v>
      </c>
      <c r="E107" s="5">
        <f>B107+C107+D107</f>
        <v>6667.746</v>
      </c>
      <c r="F107" s="5">
        <v>7486.592</v>
      </c>
      <c r="H107" s="5">
        <v>6300.902992</v>
      </c>
      <c r="I107" s="5">
        <f>G107+H107</f>
        <v>6300.902992</v>
      </c>
      <c r="J107" s="5">
        <v>17152.68624888</v>
      </c>
      <c r="K107" s="2">
        <v>2269.149043890225</v>
      </c>
    </row>
    <row r="108" spans="1:11" ht="12.75">
      <c r="A108" s="11">
        <v>1535</v>
      </c>
      <c r="B108" s="5">
        <v>3626.3179999999998</v>
      </c>
      <c r="C108" s="5">
        <v>7580.1744</v>
      </c>
      <c r="D108" s="5">
        <v>1403.7359999999999</v>
      </c>
      <c r="E108" s="5">
        <f>B108+C108+D108</f>
        <v>12610.2284</v>
      </c>
      <c r="F108" s="5">
        <v>12727.2064</v>
      </c>
      <c r="H108" s="5">
        <v>6300.902992</v>
      </c>
      <c r="I108" s="5">
        <f>G108+H108</f>
        <v>6300.902992</v>
      </c>
      <c r="J108" s="5">
        <v>13623.98085048</v>
      </c>
      <c r="K108" s="2">
        <v>2269.149043890225</v>
      </c>
    </row>
    <row r="109" spans="1:11" ht="12.75">
      <c r="A109" s="11"/>
      <c r="B109" s="5"/>
      <c r="C109" s="5"/>
      <c r="D109" s="5"/>
      <c r="H109" s="5"/>
      <c r="I109" s="5"/>
      <c r="J109" s="5"/>
      <c r="K109" s="5"/>
    </row>
    <row r="110" spans="1:11" ht="12.75">
      <c r="A110" s="11" t="s">
        <v>56</v>
      </c>
      <c r="B110" s="5">
        <f>SUM(B104:B109)/5</f>
        <v>1455.20632</v>
      </c>
      <c r="C110" s="5">
        <f>SUM(C104:C109)/5</f>
        <v>3888.3487199999995</v>
      </c>
      <c r="D110" s="5">
        <f>SUM(D104:D109)/5</f>
        <v>800.1295200000001</v>
      </c>
      <c r="E110" s="5">
        <f>B110+C110+D110</f>
        <v>6143.68456</v>
      </c>
      <c r="F110" s="5">
        <f>SUM(F104:F109)/5</f>
        <v>6663.06688</v>
      </c>
      <c r="H110" s="5">
        <v>6300.9</v>
      </c>
      <c r="I110" s="5">
        <f>G110+H110</f>
        <v>6300.9</v>
      </c>
      <c r="J110" s="5">
        <f>SUM(J104:J109)/5</f>
        <v>16554.809006736</v>
      </c>
      <c r="K110" s="5">
        <f>SUM(K104:K109)/5</f>
        <v>2269.149043890225</v>
      </c>
    </row>
    <row r="111" spans="1:11" ht="12.75">
      <c r="A111" s="11"/>
      <c r="B111" s="5"/>
      <c r="C111" s="5"/>
      <c r="D111" s="5"/>
      <c r="H111" s="5"/>
      <c r="I111" s="5"/>
      <c r="J111" s="5"/>
      <c r="K111" s="5"/>
    </row>
    <row r="112" spans="1:11" ht="12.75">
      <c r="A112" s="11">
        <v>1536</v>
      </c>
      <c r="B112" s="5">
        <v>3860.274</v>
      </c>
      <c r="C112" s="5">
        <v>6363.6032</v>
      </c>
      <c r="D112" s="5">
        <v>1590.9008</v>
      </c>
      <c r="E112" s="5">
        <f>B112+C112+D112</f>
        <v>11814.777999999998</v>
      </c>
      <c r="F112" s="5">
        <v>11978.547199999999</v>
      </c>
      <c r="H112" s="5">
        <f>(H110+H113)/2</f>
        <v>5920.465644399999</v>
      </c>
      <c r="I112" s="5">
        <f>G112+H112</f>
        <v>5920.465644399999</v>
      </c>
      <c r="J112" s="5">
        <v>12700.4600268</v>
      </c>
      <c r="K112" s="2">
        <v>2269.149043890225</v>
      </c>
    </row>
    <row r="113" spans="1:11" ht="12.75">
      <c r="A113" s="11">
        <v>1537</v>
      </c>
      <c r="B113" s="5">
        <v>3088.2192</v>
      </c>
      <c r="C113" s="5">
        <v>14598.8544</v>
      </c>
      <c r="D113" s="5">
        <v>1216.5712</v>
      </c>
      <c r="E113" s="5">
        <f>B113+C113+D113</f>
        <v>18903.6448</v>
      </c>
      <c r="F113" s="5">
        <v>18903.6448</v>
      </c>
      <c r="H113" s="5">
        <v>5540.0312888</v>
      </c>
      <c r="I113" s="5">
        <f>G113+H113</f>
        <v>5540.0312888</v>
      </c>
      <c r="J113" s="5">
        <v>12434.493708</v>
      </c>
      <c r="K113" s="2">
        <v>2269.149043890225</v>
      </c>
    </row>
    <row r="114" spans="1:11" ht="12.75">
      <c r="A114" s="11">
        <v>1538</v>
      </c>
      <c r="B114" s="5">
        <v>3602.9224</v>
      </c>
      <c r="C114" s="5">
        <v>5614.9439999999995</v>
      </c>
      <c r="D114" s="5">
        <v>3930.4608</v>
      </c>
      <c r="E114" s="5">
        <f>B114+C114+D114</f>
        <v>13148.3272</v>
      </c>
      <c r="F114" s="5">
        <v>13850.1952</v>
      </c>
      <c r="H114" s="5">
        <v>5741.7013608</v>
      </c>
      <c r="I114" s="5">
        <f>G114+H114</f>
        <v>5741.7013608</v>
      </c>
      <c r="J114" s="5">
        <v>14136.389085</v>
      </c>
      <c r="K114" s="2">
        <v>2269.149043890225</v>
      </c>
    </row>
    <row r="115" spans="1:11" ht="12.75">
      <c r="A115" s="11">
        <v>1539</v>
      </c>
      <c r="B115" s="5">
        <v>2901.0544</v>
      </c>
      <c r="C115" s="5">
        <v>2901.0544</v>
      </c>
      <c r="D115" s="5">
        <v>7486.592</v>
      </c>
      <c r="E115" s="5">
        <f>B115+C115+D115</f>
        <v>13288.700799999999</v>
      </c>
      <c r="F115" s="5">
        <v>14224.5248</v>
      </c>
      <c r="H115" s="5">
        <f>SUM(H112:H114)/3</f>
        <v>5734.066098</v>
      </c>
      <c r="I115" s="5">
        <f>G115+H115</f>
        <v>5734.066098</v>
      </c>
      <c r="J115" s="5">
        <v>13193.950049280002</v>
      </c>
      <c r="K115" s="2">
        <v>2205.2182360449697</v>
      </c>
    </row>
    <row r="116" spans="1:11" ht="12.75">
      <c r="A116" s="11">
        <v>1540</v>
      </c>
      <c r="B116" s="5">
        <v>2152.3952</v>
      </c>
      <c r="C116" s="5">
        <v>2760.6808</v>
      </c>
      <c r="D116" s="5">
        <v>10808.7672</v>
      </c>
      <c r="E116" s="5">
        <f>B116+C116+D116</f>
        <v>15721.8432</v>
      </c>
      <c r="F116" s="5">
        <v>15909.008</v>
      </c>
      <c r="H116" s="5">
        <f>SUM(H112:H115)/4</f>
        <v>5734.066098</v>
      </c>
      <c r="I116" s="5">
        <f>G116+H116</f>
        <v>5734.066098</v>
      </c>
      <c r="J116" s="5">
        <v>13774.77648456</v>
      </c>
      <c r="K116" s="2">
        <v>2205.2182360449697</v>
      </c>
    </row>
    <row r="117" spans="1:11" ht="12.75">
      <c r="A117" s="11"/>
      <c r="B117" s="5"/>
      <c r="C117" s="5"/>
      <c r="D117" s="5"/>
      <c r="H117" s="5"/>
      <c r="I117" s="5"/>
      <c r="J117" s="5"/>
      <c r="K117" s="5"/>
    </row>
    <row r="118" spans="1:11" ht="12.75">
      <c r="A118" s="11" t="s">
        <v>60</v>
      </c>
      <c r="B118" s="5">
        <f>SUM(B112:B117)/5</f>
        <v>3120.97304</v>
      </c>
      <c r="C118" s="5">
        <f>SUM(C112:C117)/5</f>
        <v>6447.82736</v>
      </c>
      <c r="D118" s="5">
        <f>SUM(D112:D117)/5</f>
        <v>5006.6584</v>
      </c>
      <c r="E118" s="5">
        <f>B118+C118+D118</f>
        <v>14575.4588</v>
      </c>
      <c r="F118" s="5">
        <f>SUM(F112:F117)/5</f>
        <v>14973.184</v>
      </c>
      <c r="H118" s="5">
        <f>SUM(H112:H117)/5</f>
        <v>5734.066098</v>
      </c>
      <c r="I118" s="5">
        <f>G118+H118</f>
        <v>5734.066098</v>
      </c>
      <c r="J118" s="5">
        <f>SUM(J112:J117)/5</f>
        <v>13248.013870728002</v>
      </c>
      <c r="K118" s="5">
        <f>SUM(K112:K117)/5</f>
        <v>2243.576720752123</v>
      </c>
    </row>
    <row r="119" spans="1:11" ht="12.75">
      <c r="A119" s="11"/>
      <c r="B119" s="5"/>
      <c r="C119" s="5"/>
      <c r="D119" s="5"/>
      <c r="H119" s="5"/>
      <c r="I119" s="5"/>
      <c r="J119" s="5"/>
      <c r="K119" s="5"/>
    </row>
    <row r="120" spans="1:11" ht="12.75">
      <c r="A120" s="11">
        <v>1541</v>
      </c>
      <c r="B120" s="5">
        <v>1965.2304</v>
      </c>
      <c r="C120" s="5">
        <v>1965.2304</v>
      </c>
      <c r="D120" s="5">
        <v>5334.1968</v>
      </c>
      <c r="E120" s="5">
        <f>B120+C120+D120</f>
        <v>9264.657599999999</v>
      </c>
      <c r="F120" s="5">
        <v>10200.4816</v>
      </c>
      <c r="H120" s="5">
        <v>4940.0511268</v>
      </c>
      <c r="I120" s="5">
        <f>G120+H120</f>
        <v>4940.0511268</v>
      </c>
      <c r="J120" s="5">
        <v>12086.469890040002</v>
      </c>
      <c r="K120" s="2">
        <v>2141.550517943934</v>
      </c>
    </row>
    <row r="121" spans="1:11" ht="12.75">
      <c r="A121" s="11">
        <v>1542</v>
      </c>
      <c r="B121" s="5">
        <v>1403.7359999999999</v>
      </c>
      <c r="C121" s="5">
        <v>1169.78</v>
      </c>
      <c r="D121" s="5">
        <v>4398.3728</v>
      </c>
      <c r="E121" s="5">
        <f>B121+C121+D121</f>
        <v>6971.8888</v>
      </c>
      <c r="F121" s="5">
        <v>7954.504</v>
      </c>
      <c r="H121" s="5">
        <v>5560.900164</v>
      </c>
      <c r="I121" s="5">
        <f>G121+H121</f>
        <v>5560.900164</v>
      </c>
      <c r="J121" s="5">
        <v>10308.03447492</v>
      </c>
      <c r="K121" s="2">
        <v>2141.550517943934</v>
      </c>
    </row>
    <row r="122" spans="1:11" ht="12.75">
      <c r="A122" s="11">
        <v>1543</v>
      </c>
      <c r="B122" s="5">
        <v>1122.9888</v>
      </c>
      <c r="C122" s="5">
        <v>1965.2304</v>
      </c>
      <c r="D122" s="5">
        <v>3743.296</v>
      </c>
      <c r="E122" s="5">
        <f>B122+C122+D122</f>
        <v>6831.5152</v>
      </c>
      <c r="F122" s="5">
        <v>6925.0976</v>
      </c>
      <c r="H122" s="5">
        <v>6261.364428</v>
      </c>
      <c r="I122" s="5">
        <f>G122+H122</f>
        <v>6261.364428</v>
      </c>
      <c r="J122" s="5">
        <v>10670.76965136</v>
      </c>
      <c r="K122" s="2">
        <v>2141.550517943934</v>
      </c>
    </row>
    <row r="123" spans="1:11" ht="12.75">
      <c r="A123" s="11">
        <v>1544</v>
      </c>
      <c r="B123" s="5">
        <v>842.2416</v>
      </c>
      <c r="C123" s="5">
        <v>421.1208</v>
      </c>
      <c r="D123" s="5">
        <v>3836.8784</v>
      </c>
      <c r="E123" s="5">
        <f>B123+C123+D123</f>
        <v>5100.2408</v>
      </c>
      <c r="F123" s="5">
        <v>5661.7352</v>
      </c>
      <c r="H123" s="5">
        <v>6616.4160536</v>
      </c>
      <c r="I123" s="5">
        <f>G123+H123</f>
        <v>6616.4160536</v>
      </c>
      <c r="J123" s="5">
        <v>10846.5818916</v>
      </c>
      <c r="K123" s="2">
        <v>2141.550517943934</v>
      </c>
    </row>
    <row r="124" spans="1:11" ht="12.75">
      <c r="A124" s="11">
        <v>1545</v>
      </c>
      <c r="B124" s="5">
        <v>982.6152</v>
      </c>
      <c r="C124" s="5">
        <v>2339.56</v>
      </c>
      <c r="D124" s="5">
        <v>3462.5488</v>
      </c>
      <c r="E124" s="5">
        <f>B124+C124+D124</f>
        <v>6784.724</v>
      </c>
      <c r="F124" s="5">
        <v>7954.504</v>
      </c>
      <c r="H124" s="5">
        <v>7341.2585328</v>
      </c>
      <c r="I124" s="5">
        <f>G124+H124</f>
        <v>7341.2585328</v>
      </c>
      <c r="J124" s="5">
        <v>10772.392714720001</v>
      </c>
      <c r="K124" s="2">
        <v>2141.550517943934</v>
      </c>
    </row>
    <row r="125" spans="1:11" ht="11.25" customHeight="1">
      <c r="A125" s="11"/>
      <c r="B125" s="5"/>
      <c r="C125" s="5"/>
      <c r="D125" s="5"/>
      <c r="H125" s="5"/>
      <c r="I125" s="5"/>
      <c r="J125" s="5"/>
      <c r="K125" s="5"/>
    </row>
    <row r="126" spans="1:11" ht="12.75">
      <c r="A126" s="11" t="s">
        <v>63</v>
      </c>
      <c r="B126" s="5">
        <f>SUM(B120:B125)/5</f>
        <v>1263.3624000000002</v>
      </c>
      <c r="C126" s="5">
        <f>SUM(C120:C125)/5</f>
        <v>1572.1843199999998</v>
      </c>
      <c r="D126" s="5">
        <f>SUM(D120:D125)/5</f>
        <v>4155.0585599999995</v>
      </c>
      <c r="E126" s="5">
        <f>B126+C126+D126</f>
        <v>6990.60528</v>
      </c>
      <c r="F126" s="5">
        <f>SUM(F120:F125)/5</f>
        <v>7739.26448</v>
      </c>
      <c r="H126" s="5">
        <f>SUM(H120:H125)/5</f>
        <v>6143.99806104</v>
      </c>
      <c r="I126" s="5">
        <f>G126+H126</f>
        <v>6143.99806104</v>
      </c>
      <c r="J126" s="5">
        <f>SUM(J120:J125)/5</f>
        <v>10936.849724528</v>
      </c>
      <c r="K126" s="5">
        <f>SUM(K120:K125)/5</f>
        <v>2141.550517943934</v>
      </c>
    </row>
    <row r="127" spans="1:11" ht="12.75">
      <c r="A127" s="11"/>
      <c r="B127" s="5"/>
      <c r="C127" s="5"/>
      <c r="D127" s="5"/>
      <c r="H127" s="5"/>
      <c r="I127" s="5"/>
      <c r="J127" s="5"/>
      <c r="K127" s="5"/>
    </row>
    <row r="128" spans="1:10" ht="12.75">
      <c r="A128" s="11">
        <v>1546</v>
      </c>
      <c r="B128" s="5">
        <v>538.0988</v>
      </c>
      <c r="D128" s="5">
        <v>3649.7136</v>
      </c>
      <c r="E128" s="5">
        <f>B128+C128+D128</f>
        <v>4187.8124</v>
      </c>
      <c r="F128" s="5">
        <v>4187.8124</v>
      </c>
      <c r="H128" s="5">
        <v>6576.1990172000005</v>
      </c>
      <c r="I128" s="5">
        <f>G128+H128</f>
        <v>6576.1990172000005</v>
      </c>
      <c r="J128" s="5"/>
    </row>
    <row r="129" spans="1:10" ht="12.75">
      <c r="A129" s="11">
        <v>1547</v>
      </c>
      <c r="B129" s="5">
        <v>467.912</v>
      </c>
      <c r="D129" s="5">
        <v>3649.7136</v>
      </c>
      <c r="E129" s="5">
        <f>B129+C129+D129</f>
        <v>4117.6256</v>
      </c>
      <c r="F129" s="5">
        <v>4117.6256</v>
      </c>
      <c r="H129" s="5">
        <v>6576.1990172000005</v>
      </c>
      <c r="I129" s="5">
        <f>G129+H129</f>
        <v>6576.1990172000005</v>
      </c>
      <c r="J129" s="5"/>
    </row>
    <row r="130" spans="1:10" ht="12.75">
      <c r="A130" s="11">
        <v>1548</v>
      </c>
      <c r="B130" s="5">
        <v>467.912</v>
      </c>
      <c r="D130" s="5">
        <v>3649.7136</v>
      </c>
      <c r="E130" s="5">
        <f>B130+C130+D130</f>
        <v>4117.6256</v>
      </c>
      <c r="F130" s="5">
        <v>4117.6256</v>
      </c>
      <c r="H130" s="5">
        <v>6576.1990172000005</v>
      </c>
      <c r="I130" s="5">
        <f>G130+H130</f>
        <v>6576.1990172000005</v>
      </c>
      <c r="J130" s="5"/>
    </row>
    <row r="131" spans="1:10" ht="12.75">
      <c r="A131" s="11">
        <v>1549</v>
      </c>
      <c r="B131" s="5">
        <v>467.912</v>
      </c>
      <c r="D131" s="5">
        <v>3649.7136</v>
      </c>
      <c r="E131" s="5">
        <f>B131+C131+D131</f>
        <v>4117.6256</v>
      </c>
      <c r="F131" s="5">
        <v>4117.6256</v>
      </c>
      <c r="H131" s="5">
        <v>6576.1990172000005</v>
      </c>
      <c r="I131" s="5">
        <f>G131+H131</f>
        <v>6576.1990172000005</v>
      </c>
      <c r="J131" s="5"/>
    </row>
    <row r="132" spans="1:10" ht="12.75">
      <c r="A132" s="11">
        <v>1550</v>
      </c>
      <c r="B132" s="5">
        <v>467.912</v>
      </c>
      <c r="D132" s="5">
        <v>3649.7136</v>
      </c>
      <c r="E132" s="5">
        <f>B132+C132+D132</f>
        <v>4117.6256</v>
      </c>
      <c r="F132" s="5">
        <v>4117.6256</v>
      </c>
      <c r="H132" s="5">
        <v>6576.1990172000005</v>
      </c>
      <c r="I132" s="5">
        <f>G132+H132</f>
        <v>6576.1990172000005</v>
      </c>
      <c r="J132" s="5"/>
    </row>
    <row r="133" spans="9:10" ht="12.75">
      <c r="I133" s="5"/>
      <c r="J133" s="5"/>
    </row>
    <row r="134" spans="1:10" ht="12.75">
      <c r="A134" s="1" t="s">
        <v>66</v>
      </c>
      <c r="B134" s="5">
        <f>SUM(B128:B133)/5</f>
        <v>481.94935999999996</v>
      </c>
      <c r="E134" s="5">
        <f>SUM(E128:E133)/5</f>
        <v>4131.66296</v>
      </c>
      <c r="F134" s="5">
        <f>SUM(F128:F133)/5</f>
        <v>4131.66296</v>
      </c>
      <c r="H134" s="5">
        <v>6576.1990172000005</v>
      </c>
      <c r="I134" s="5">
        <f>G134+H134</f>
        <v>6576.1990172000005</v>
      </c>
      <c r="J134" s="5"/>
    </row>
    <row r="135" ht="12.75">
      <c r="J135" s="5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6"/>
  </sheetPr>
  <dimension ref="A1:I16"/>
  <sheetViews>
    <sheetView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10.421875" style="0" customWidth="1"/>
    <col min="2" max="4" width="11.00390625" style="0" customWidth="1"/>
    <col min="5" max="7" width="11.421875" style="0" customWidth="1"/>
    <col min="8" max="8" width="10.57421875" style="0" customWidth="1"/>
    <col min="9" max="9" width="12.8515625" style="0" customWidth="1"/>
  </cols>
  <sheetData>
    <row r="1" spans="1:9" ht="12.75">
      <c r="A1" s="11"/>
      <c r="B1" s="4" t="s">
        <v>435</v>
      </c>
      <c r="C1" s="9"/>
      <c r="D1" s="21"/>
      <c r="E1" s="9"/>
      <c r="F1" s="5"/>
      <c r="G1" s="17"/>
      <c r="H1" s="9"/>
      <c r="I1" s="15"/>
    </row>
    <row r="2" spans="1:9" ht="12.75">
      <c r="A2" s="11"/>
      <c r="B2" s="5"/>
      <c r="C2" s="9"/>
      <c r="D2" s="21"/>
      <c r="E2" s="9"/>
      <c r="F2" s="5"/>
      <c r="G2" s="17"/>
      <c r="H2" s="9"/>
      <c r="I2" s="15"/>
    </row>
    <row r="3" spans="1:9" ht="12.75">
      <c r="A3" s="11"/>
      <c r="B3" s="5"/>
      <c r="C3" s="9"/>
      <c r="D3" s="21"/>
      <c r="E3" s="9"/>
      <c r="F3" s="5"/>
      <c r="G3" s="17"/>
      <c r="H3" s="9"/>
      <c r="I3" s="15"/>
    </row>
    <row r="4" spans="1:9" ht="12.75">
      <c r="A4" s="11" t="s">
        <v>304</v>
      </c>
      <c r="B4" s="4" t="s">
        <v>314</v>
      </c>
      <c r="C4" s="10" t="s">
        <v>314</v>
      </c>
      <c r="D4" s="22" t="s">
        <v>314</v>
      </c>
      <c r="E4" s="10" t="s">
        <v>578</v>
      </c>
      <c r="F4" s="4" t="s">
        <v>578</v>
      </c>
      <c r="G4" s="18" t="s">
        <v>578</v>
      </c>
      <c r="H4" s="10" t="s">
        <v>436</v>
      </c>
      <c r="I4" s="16" t="s">
        <v>551</v>
      </c>
    </row>
    <row r="5" spans="1:9" ht="12.75">
      <c r="A5" s="11" t="s">
        <v>473</v>
      </c>
      <c r="B5" s="4" t="s">
        <v>409</v>
      </c>
      <c r="C5" s="10" t="s">
        <v>386</v>
      </c>
      <c r="D5" s="22" t="s">
        <v>471</v>
      </c>
      <c r="E5" s="10" t="s">
        <v>409</v>
      </c>
      <c r="F5" s="4" t="s">
        <v>386</v>
      </c>
      <c r="G5" s="18" t="s">
        <v>471</v>
      </c>
      <c r="H5" s="10" t="s">
        <v>409</v>
      </c>
      <c r="I5" s="16" t="s">
        <v>386</v>
      </c>
    </row>
    <row r="7" spans="1:9" ht="12.75">
      <c r="A7" s="11" t="s">
        <v>122</v>
      </c>
      <c r="B7" s="23"/>
      <c r="C7" s="9"/>
      <c r="D7" s="21"/>
      <c r="E7" s="9">
        <v>146608</v>
      </c>
      <c r="F7" s="9">
        <v>33265.3552</v>
      </c>
      <c r="G7" s="17">
        <v>24</v>
      </c>
      <c r="H7" s="9">
        <v>610977.5</v>
      </c>
      <c r="I7" s="15">
        <v>138630.79475</v>
      </c>
    </row>
    <row r="8" spans="1:9" ht="12.75">
      <c r="A8" s="11" t="s">
        <v>128</v>
      </c>
      <c r="B8" s="23"/>
      <c r="C8" s="9"/>
      <c r="D8" s="21"/>
      <c r="E8" s="9">
        <v>219196</v>
      </c>
      <c r="F8" s="9">
        <v>49735.5724</v>
      </c>
      <c r="G8" s="17">
        <v>23.2</v>
      </c>
      <c r="H8" s="9">
        <v>774452</v>
      </c>
      <c r="I8" s="15">
        <v>175723.15879999998</v>
      </c>
    </row>
    <row r="9" spans="1:9" ht="12.75">
      <c r="A9" s="11" t="s">
        <v>134</v>
      </c>
      <c r="B9" s="23"/>
      <c r="C9" s="9"/>
      <c r="D9" s="21"/>
      <c r="E9" s="9">
        <v>241172</v>
      </c>
      <c r="F9" s="9">
        <v>54721.9268</v>
      </c>
      <c r="G9" s="17">
        <v>22.1</v>
      </c>
      <c r="H9" s="9">
        <v>990020</v>
      </c>
      <c r="I9" s="15">
        <v>224635.538</v>
      </c>
    </row>
    <row r="10" spans="1:9" ht="12.75">
      <c r="A10" s="11" t="s">
        <v>140</v>
      </c>
      <c r="B10" s="23"/>
      <c r="C10" s="9"/>
      <c r="D10" s="21"/>
      <c r="E10" s="9">
        <v>220326.5</v>
      </c>
      <c r="F10" s="9">
        <v>49992.08285</v>
      </c>
      <c r="G10" s="17">
        <v>18.8</v>
      </c>
      <c r="H10" s="9">
        <v>1065099.5</v>
      </c>
      <c r="I10" s="15">
        <v>241671.07655</v>
      </c>
    </row>
    <row r="11" spans="1:9" ht="12.75">
      <c r="A11" s="11" t="s">
        <v>146</v>
      </c>
      <c r="B11" s="23"/>
      <c r="C11" s="9"/>
      <c r="D11" s="21"/>
      <c r="E11" s="9">
        <v>167276</v>
      </c>
      <c r="F11" s="9">
        <v>37954.9244</v>
      </c>
      <c r="G11" s="17">
        <v>11.05</v>
      </c>
      <c r="H11" s="9">
        <v>1206720</v>
      </c>
      <c r="I11" s="15">
        <v>273804.768</v>
      </c>
    </row>
    <row r="12" spans="1:9" ht="12.75">
      <c r="A12" s="11" t="s">
        <v>152</v>
      </c>
      <c r="B12" s="23"/>
      <c r="C12" s="9"/>
      <c r="D12" s="21"/>
      <c r="E12" s="9">
        <v>159314.5</v>
      </c>
      <c r="F12" s="9">
        <v>36148.46005</v>
      </c>
      <c r="G12" s="17">
        <v>10.75</v>
      </c>
      <c r="H12" s="9">
        <v>1479389.5</v>
      </c>
      <c r="I12" s="15">
        <v>335673.47754999995</v>
      </c>
    </row>
    <row r="13" spans="1:9" ht="12.75">
      <c r="A13" s="11" t="s">
        <v>158</v>
      </c>
      <c r="B13" s="5"/>
      <c r="C13" s="9"/>
      <c r="D13" s="21"/>
      <c r="E13" s="9">
        <v>111526</v>
      </c>
      <c r="F13" s="9">
        <v>25305.2494</v>
      </c>
      <c r="G13" s="17">
        <v>8.4</v>
      </c>
      <c r="H13" s="9">
        <v>1327986</v>
      </c>
      <c r="I13" s="15">
        <v>301320.02339999995</v>
      </c>
    </row>
    <row r="14" spans="1:9" ht="12.75">
      <c r="A14" s="11" t="s">
        <v>163</v>
      </c>
      <c r="B14" s="5"/>
      <c r="C14" s="9"/>
      <c r="D14" s="21"/>
      <c r="E14" s="9">
        <v>231409.5</v>
      </c>
      <c r="F14" s="9">
        <v>52506.81555</v>
      </c>
      <c r="G14" s="17">
        <v>11.7</v>
      </c>
      <c r="H14" s="9">
        <v>1946119</v>
      </c>
      <c r="I14" s="15">
        <v>441574.4011</v>
      </c>
    </row>
    <row r="15" spans="1:9" ht="12.75">
      <c r="A15" s="11" t="s">
        <v>169</v>
      </c>
      <c r="B15" s="5"/>
      <c r="C15" s="9"/>
      <c r="D15" s="21"/>
      <c r="E15" s="9">
        <f>AVERAGE(E12:E14)</f>
        <v>167416.66666666666</v>
      </c>
      <c r="F15" s="9">
        <f>AVERAGE(F12:F14)</f>
        <v>37986.84166666667</v>
      </c>
      <c r="G15" s="17">
        <f>AVERAGE(G12:G14)</f>
        <v>10.283333333333333</v>
      </c>
      <c r="H15" s="9">
        <f>AVERAGE(H12:H14)</f>
        <v>1584498.1666666667</v>
      </c>
      <c r="I15" s="15">
        <f>AVERAGE(I12:I14)</f>
        <v>359522.6340166666</v>
      </c>
    </row>
    <row r="16" spans="1:9" ht="12.75">
      <c r="A16" s="11" t="s">
        <v>175</v>
      </c>
      <c r="B16" s="5"/>
      <c r="C16" s="9"/>
      <c r="D16" s="21"/>
      <c r="E16" s="9">
        <v>266631</v>
      </c>
      <c r="F16" s="9">
        <v>60498.5739</v>
      </c>
      <c r="G16" s="17">
        <v>10.25</v>
      </c>
      <c r="H16" s="9">
        <v>2602125.5</v>
      </c>
      <c r="I16" s="15">
        <v>590422.2759499999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5"/>
  </sheetPr>
  <dimension ref="A1:C146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7109375" style="0" customWidth="1"/>
    <col min="3" max="3" width="10.7109375" style="0" customWidth="1"/>
  </cols>
  <sheetData>
    <row r="1" spans="1:3" ht="12.75">
      <c r="A1" s="11"/>
      <c r="B1" s="10" t="s">
        <v>440</v>
      </c>
      <c r="C1" s="5"/>
    </row>
    <row r="2" spans="1:3" ht="12.75">
      <c r="A2" s="11"/>
      <c r="B2" s="9"/>
      <c r="C2" s="5"/>
    </row>
    <row r="3" spans="1:3" ht="12.75">
      <c r="A3" s="11" t="s">
        <v>575</v>
      </c>
      <c r="B3" s="10" t="s">
        <v>404</v>
      </c>
      <c r="C3" s="4" t="s">
        <v>389</v>
      </c>
    </row>
    <row r="4" spans="1:3" ht="12.75">
      <c r="A4" s="11"/>
      <c r="B4" s="9"/>
      <c r="C4" s="5"/>
    </row>
    <row r="5" spans="1:3" ht="12.75">
      <c r="A5" s="11">
        <v>1690</v>
      </c>
      <c r="B5" s="9">
        <v>621883</v>
      </c>
      <c r="C5" s="5">
        <f aca="true" t="shared" si="0" ref="C5:C36">B5*0.2269</f>
        <v>141105.25269999998</v>
      </c>
    </row>
    <row r="6" spans="1:3" ht="12.75">
      <c r="A6" s="11">
        <v>1691</v>
      </c>
      <c r="B6" s="9">
        <v>731024</v>
      </c>
      <c r="C6" s="5">
        <f t="shared" si="0"/>
        <v>165869.3456</v>
      </c>
    </row>
    <row r="7" spans="1:3" ht="12.75">
      <c r="A7" s="11">
        <v>1692</v>
      </c>
      <c r="B7" s="9">
        <v>629732</v>
      </c>
      <c r="C7" s="5">
        <f t="shared" si="0"/>
        <v>142886.19079999998</v>
      </c>
    </row>
    <row r="8" spans="1:3" ht="12.75">
      <c r="A8" s="11">
        <v>1693</v>
      </c>
      <c r="B8" s="9">
        <v>329691</v>
      </c>
      <c r="C8" s="5">
        <f t="shared" si="0"/>
        <v>74806.8879</v>
      </c>
    </row>
    <row r="9" spans="1:3" ht="12.75">
      <c r="A9" s="11">
        <v>1694</v>
      </c>
      <c r="B9" s="9">
        <v>687121</v>
      </c>
      <c r="C9" s="5">
        <f t="shared" si="0"/>
        <v>155907.7549</v>
      </c>
    </row>
    <row r="10" spans="1:3" ht="12.75">
      <c r="A10" s="11">
        <v>1695</v>
      </c>
      <c r="B10" s="9">
        <v>470740</v>
      </c>
      <c r="C10" s="5">
        <f t="shared" si="0"/>
        <v>106810.906</v>
      </c>
    </row>
    <row r="11" spans="1:3" ht="12.75">
      <c r="A11" s="11">
        <v>1696</v>
      </c>
      <c r="B11" s="9">
        <v>375366</v>
      </c>
      <c r="C11" s="5">
        <f t="shared" si="0"/>
        <v>85170.5454</v>
      </c>
    </row>
    <row r="12" spans="1:3" ht="12.75">
      <c r="A12" s="11">
        <v>1697</v>
      </c>
      <c r="B12" s="9">
        <v>524699</v>
      </c>
      <c r="C12" s="5">
        <f t="shared" si="0"/>
        <v>119054.2031</v>
      </c>
    </row>
    <row r="13" spans="1:3" ht="12.75">
      <c r="A13" s="11">
        <v>1698</v>
      </c>
      <c r="B13" s="9">
        <v>390560</v>
      </c>
      <c r="C13" s="5">
        <f t="shared" si="0"/>
        <v>88618.064</v>
      </c>
    </row>
    <row r="14" spans="1:3" ht="12.75">
      <c r="A14" s="11">
        <v>1699</v>
      </c>
      <c r="B14" s="9">
        <v>412327</v>
      </c>
      <c r="C14" s="5">
        <f t="shared" si="0"/>
        <v>93556.9963</v>
      </c>
    </row>
    <row r="15" spans="1:3" ht="12.75">
      <c r="A15" s="11">
        <v>1700</v>
      </c>
      <c r="B15" s="9">
        <v>397543</v>
      </c>
      <c r="C15" s="5">
        <f t="shared" si="0"/>
        <v>90202.5067</v>
      </c>
    </row>
    <row r="16" spans="1:3" ht="12.75">
      <c r="A16" s="11">
        <v>1701</v>
      </c>
      <c r="B16" s="9">
        <v>472834</v>
      </c>
      <c r="C16" s="5">
        <f t="shared" si="0"/>
        <v>107286.0346</v>
      </c>
    </row>
    <row r="17" spans="1:3" ht="12.75">
      <c r="A17" s="11">
        <v>1702</v>
      </c>
      <c r="B17" s="9">
        <v>590900</v>
      </c>
      <c r="C17" s="5">
        <f t="shared" si="0"/>
        <v>134075.21</v>
      </c>
    </row>
    <row r="18" spans="1:3" ht="12.75">
      <c r="A18" s="11">
        <v>1703</v>
      </c>
      <c r="B18" s="9">
        <v>715206</v>
      </c>
      <c r="C18" s="5">
        <f t="shared" si="0"/>
        <v>162280.2414</v>
      </c>
    </row>
    <row r="19" spans="1:3" ht="12.75">
      <c r="A19" s="11">
        <v>1704</v>
      </c>
      <c r="B19" s="9">
        <v>685532</v>
      </c>
      <c r="C19" s="5">
        <f t="shared" si="0"/>
        <v>155547.2108</v>
      </c>
    </row>
    <row r="20" spans="1:3" ht="12.75">
      <c r="A20" s="11">
        <v>1705</v>
      </c>
      <c r="B20" s="9">
        <v>558491</v>
      </c>
      <c r="C20" s="5">
        <f t="shared" si="0"/>
        <v>126721.60789999999</v>
      </c>
    </row>
    <row r="21" spans="1:3" ht="12.75">
      <c r="A21" s="11">
        <v>1706</v>
      </c>
      <c r="B21" s="9">
        <v>726122</v>
      </c>
      <c r="C21" s="5">
        <f t="shared" si="0"/>
        <v>164757.08179999999</v>
      </c>
    </row>
    <row r="22" spans="1:3" ht="12.75">
      <c r="A22" s="11">
        <v>1707</v>
      </c>
      <c r="B22" s="9">
        <v>674709</v>
      </c>
      <c r="C22" s="5">
        <f t="shared" si="0"/>
        <v>153091.47209999998</v>
      </c>
    </row>
    <row r="23" spans="1:3" ht="12.75">
      <c r="A23" s="11">
        <v>1708</v>
      </c>
      <c r="B23" s="9">
        <v>675012</v>
      </c>
      <c r="C23" s="5">
        <f t="shared" si="0"/>
        <v>153160.2228</v>
      </c>
    </row>
    <row r="24" spans="1:3" ht="12.75">
      <c r="A24" s="11">
        <v>1709</v>
      </c>
      <c r="B24" s="9">
        <v>613428</v>
      </c>
      <c r="C24" s="5">
        <f t="shared" si="0"/>
        <v>139186.8132</v>
      </c>
    </row>
    <row r="25" spans="1:3" ht="12.75">
      <c r="A25" s="11">
        <v>1710</v>
      </c>
      <c r="B25" s="9">
        <v>789480</v>
      </c>
      <c r="C25" s="5">
        <f t="shared" si="0"/>
        <v>179133.012</v>
      </c>
    </row>
    <row r="26" spans="1:3" ht="12.75">
      <c r="A26" s="11">
        <v>1711</v>
      </c>
      <c r="B26" s="9">
        <v>666598</v>
      </c>
      <c r="C26" s="5">
        <f t="shared" si="0"/>
        <v>151251.0862</v>
      </c>
    </row>
    <row r="27" spans="1:3" ht="12.75">
      <c r="A27" s="11">
        <v>1712</v>
      </c>
      <c r="B27" s="9">
        <v>783932</v>
      </c>
      <c r="C27" s="5">
        <f t="shared" si="0"/>
        <v>177874.1708</v>
      </c>
    </row>
    <row r="28" spans="1:3" ht="12.75">
      <c r="A28" s="11">
        <v>1713</v>
      </c>
      <c r="B28" s="9">
        <v>763279</v>
      </c>
      <c r="C28" s="5">
        <f t="shared" si="0"/>
        <v>173188.00509999998</v>
      </c>
    </row>
    <row r="29" spans="1:3" ht="12.75">
      <c r="A29" s="11">
        <v>1714</v>
      </c>
      <c r="B29" s="9">
        <v>731861</v>
      </c>
      <c r="C29" s="5">
        <f t="shared" si="0"/>
        <v>166059.2609</v>
      </c>
    </row>
    <row r="30" spans="1:3" ht="12.75">
      <c r="A30" s="11">
        <v>1715</v>
      </c>
      <c r="B30" s="9">
        <v>749284</v>
      </c>
      <c r="C30" s="5">
        <f t="shared" si="0"/>
        <v>170012.5396</v>
      </c>
    </row>
    <row r="31" spans="1:3" ht="12.75">
      <c r="A31" s="11">
        <v>1716</v>
      </c>
      <c r="B31" s="9">
        <v>767969</v>
      </c>
      <c r="C31" s="5">
        <f t="shared" si="0"/>
        <v>174252.1661</v>
      </c>
    </row>
    <row r="32" spans="1:3" ht="12.75">
      <c r="A32" s="11">
        <v>1717</v>
      </c>
      <c r="B32" s="9">
        <v>794204</v>
      </c>
      <c r="C32" s="5">
        <f t="shared" si="0"/>
        <v>180204.8876</v>
      </c>
    </row>
    <row r="33" spans="1:3" ht="12.75">
      <c r="A33" s="11">
        <v>1718</v>
      </c>
      <c r="B33" s="9">
        <v>843951</v>
      </c>
      <c r="C33" s="5">
        <f t="shared" si="0"/>
        <v>191492.48189999998</v>
      </c>
    </row>
    <row r="34" spans="1:3" ht="12.75">
      <c r="A34" s="11">
        <v>1719</v>
      </c>
      <c r="B34" s="9">
        <v>853965</v>
      </c>
      <c r="C34" s="5">
        <f t="shared" si="0"/>
        <v>193764.6585</v>
      </c>
    </row>
    <row r="35" spans="1:3" ht="12.75">
      <c r="A35" s="11">
        <v>1720</v>
      </c>
      <c r="B35" s="9">
        <v>926390</v>
      </c>
      <c r="C35" s="5">
        <f t="shared" si="0"/>
        <v>210197.891</v>
      </c>
    </row>
    <row r="36" spans="1:3" ht="12.75">
      <c r="A36" s="11">
        <v>1721</v>
      </c>
      <c r="B36" s="9">
        <v>1113027</v>
      </c>
      <c r="C36" s="5">
        <f t="shared" si="0"/>
        <v>252545.8263</v>
      </c>
    </row>
    <row r="37" spans="1:3" ht="12.75">
      <c r="A37" s="11">
        <v>1722</v>
      </c>
      <c r="B37" s="9">
        <v>1038109</v>
      </c>
      <c r="C37" s="5">
        <f aca="true" t="shared" si="1" ref="C37:C68">B37*0.2269</f>
        <v>235546.93209999998</v>
      </c>
    </row>
    <row r="38" spans="1:3" ht="12.75">
      <c r="A38" s="11">
        <v>1723</v>
      </c>
      <c r="B38" s="9">
        <v>953805</v>
      </c>
      <c r="C38" s="5">
        <f t="shared" si="1"/>
        <v>216418.3545</v>
      </c>
    </row>
    <row r="39" spans="1:3" ht="12.75">
      <c r="A39" s="11">
        <v>1724</v>
      </c>
      <c r="B39" s="9">
        <v>926214</v>
      </c>
      <c r="C39" s="5">
        <f t="shared" si="1"/>
        <v>210157.9566</v>
      </c>
    </row>
    <row r="40" spans="1:3" ht="12.75">
      <c r="A40" s="11">
        <v>1725</v>
      </c>
      <c r="B40" s="9">
        <v>867037</v>
      </c>
      <c r="C40" s="5">
        <f t="shared" si="1"/>
        <v>196730.6953</v>
      </c>
    </row>
    <row r="41" spans="1:3" ht="12.75">
      <c r="A41" s="11">
        <v>1726</v>
      </c>
      <c r="B41" s="9">
        <v>996017</v>
      </c>
      <c r="C41" s="5">
        <f t="shared" si="1"/>
        <v>225996.2573</v>
      </c>
    </row>
    <row r="42" spans="1:3" ht="12.75">
      <c r="A42" s="11">
        <v>1727</v>
      </c>
      <c r="B42" s="9">
        <v>956833</v>
      </c>
      <c r="C42" s="5">
        <f t="shared" si="1"/>
        <v>217105.40769999998</v>
      </c>
    </row>
    <row r="43" spans="1:3" ht="12.75">
      <c r="A43" s="11">
        <v>1728</v>
      </c>
      <c r="B43" s="9">
        <v>1085711</v>
      </c>
      <c r="C43" s="5">
        <f t="shared" si="1"/>
        <v>246347.8259</v>
      </c>
    </row>
    <row r="44" spans="1:3" ht="12.75">
      <c r="A44" s="11">
        <v>1729</v>
      </c>
      <c r="B44" s="9">
        <v>1037055</v>
      </c>
      <c r="C44" s="5">
        <f t="shared" si="1"/>
        <v>235307.7795</v>
      </c>
    </row>
    <row r="45" spans="1:3" ht="12.75">
      <c r="A45" s="11">
        <v>1730</v>
      </c>
      <c r="B45" s="9">
        <v>1146573</v>
      </c>
      <c r="C45" s="5">
        <f t="shared" si="1"/>
        <v>260157.41369999998</v>
      </c>
    </row>
    <row r="46" spans="1:3" ht="12.75">
      <c r="A46" s="11">
        <v>1731</v>
      </c>
      <c r="B46" s="9">
        <v>992926</v>
      </c>
      <c r="C46" s="5">
        <f t="shared" si="1"/>
        <v>225294.9094</v>
      </c>
    </row>
    <row r="47" spans="1:3" ht="12.75">
      <c r="A47" s="11">
        <v>1732</v>
      </c>
      <c r="B47" s="9">
        <v>1026643</v>
      </c>
      <c r="C47" s="5">
        <f t="shared" si="1"/>
        <v>232945.29669999998</v>
      </c>
    </row>
    <row r="48" spans="1:3" ht="12.75">
      <c r="A48" s="11">
        <v>1733</v>
      </c>
      <c r="B48" s="9">
        <v>1177623</v>
      </c>
      <c r="C48" s="5">
        <f t="shared" si="1"/>
        <v>267202.65869999997</v>
      </c>
    </row>
    <row r="49" spans="1:3" ht="12.75">
      <c r="A49" s="11">
        <v>1734</v>
      </c>
      <c r="B49" s="9">
        <v>1000771</v>
      </c>
      <c r="C49" s="5">
        <f t="shared" si="1"/>
        <v>227074.9399</v>
      </c>
    </row>
    <row r="50" spans="1:3" ht="12.75">
      <c r="A50" s="11">
        <v>1735</v>
      </c>
      <c r="B50" s="9">
        <v>932001</v>
      </c>
      <c r="C50" s="5">
        <f t="shared" si="1"/>
        <v>211471.0269</v>
      </c>
    </row>
    <row r="51" spans="1:3" ht="12.75">
      <c r="A51" s="11">
        <v>1736</v>
      </c>
      <c r="B51" s="9">
        <v>1296000</v>
      </c>
      <c r="C51" s="5">
        <f t="shared" si="1"/>
        <v>294062.39999999997</v>
      </c>
    </row>
    <row r="52" spans="1:3" ht="12.75">
      <c r="A52" s="11">
        <v>1737</v>
      </c>
      <c r="B52" s="9">
        <v>955545</v>
      </c>
      <c r="C52" s="5">
        <f t="shared" si="1"/>
        <v>216813.1605</v>
      </c>
    </row>
    <row r="53" spans="1:3" ht="12.75">
      <c r="A53" s="11">
        <v>1738</v>
      </c>
      <c r="B53" s="9">
        <v>1116500</v>
      </c>
      <c r="C53" s="5">
        <f t="shared" si="1"/>
        <v>253333.84999999998</v>
      </c>
    </row>
    <row r="54" spans="1:3" ht="12.75">
      <c r="A54" s="11">
        <v>1739</v>
      </c>
      <c r="B54" s="9">
        <v>1005963</v>
      </c>
      <c r="C54" s="5">
        <f t="shared" si="1"/>
        <v>228253.0047</v>
      </c>
    </row>
    <row r="55" spans="1:3" ht="12.75">
      <c r="A55" s="11">
        <v>1740</v>
      </c>
      <c r="B55" s="9">
        <v>1124240</v>
      </c>
      <c r="C55" s="5">
        <f t="shared" si="1"/>
        <v>255090.05599999998</v>
      </c>
    </row>
    <row r="56" spans="1:3" ht="12.75">
      <c r="A56" s="11">
        <v>1741</v>
      </c>
      <c r="B56" s="9">
        <v>1016962</v>
      </c>
      <c r="C56" s="5">
        <f t="shared" si="1"/>
        <v>230748.6778</v>
      </c>
    </row>
    <row r="57" spans="1:3" ht="12.75">
      <c r="A57" s="11">
        <v>1742</v>
      </c>
      <c r="B57" s="9">
        <v>962000</v>
      </c>
      <c r="C57" s="5">
        <f t="shared" si="1"/>
        <v>218277.8</v>
      </c>
    </row>
    <row r="58" spans="1:3" ht="12.75">
      <c r="A58" s="11">
        <v>1743</v>
      </c>
      <c r="B58" s="9">
        <v>1014000</v>
      </c>
      <c r="C58" s="5">
        <f t="shared" si="1"/>
        <v>230076.59999999998</v>
      </c>
    </row>
    <row r="59" spans="1:3" ht="12.75">
      <c r="A59" s="11">
        <v>1744</v>
      </c>
      <c r="B59" s="9">
        <v>1210000</v>
      </c>
      <c r="C59" s="5">
        <f t="shared" si="1"/>
        <v>274549</v>
      </c>
    </row>
    <row r="60" spans="1:3" ht="12.75">
      <c r="A60" s="11">
        <v>1745</v>
      </c>
      <c r="B60" s="9">
        <v>1215000</v>
      </c>
      <c r="C60" s="5">
        <f t="shared" si="1"/>
        <v>275683.5</v>
      </c>
    </row>
    <row r="61" spans="1:3" ht="12.75">
      <c r="A61" s="11">
        <v>1746</v>
      </c>
      <c r="B61" s="9">
        <v>1354000</v>
      </c>
      <c r="C61" s="5">
        <f t="shared" si="1"/>
        <v>307222.6</v>
      </c>
    </row>
    <row r="62" spans="1:3" ht="12.75">
      <c r="A62" s="11">
        <v>1747</v>
      </c>
      <c r="B62" s="9">
        <v>1412000</v>
      </c>
      <c r="C62" s="5">
        <f t="shared" si="1"/>
        <v>320382.8</v>
      </c>
    </row>
    <row r="63" spans="1:3" ht="12.75">
      <c r="A63" s="11">
        <v>1748</v>
      </c>
      <c r="B63" s="9">
        <v>1368000</v>
      </c>
      <c r="C63" s="5">
        <f t="shared" si="1"/>
        <v>310399.2</v>
      </c>
    </row>
    <row r="64" spans="1:3" ht="12.75">
      <c r="A64" s="11">
        <v>1749</v>
      </c>
      <c r="B64" s="9">
        <v>1391000</v>
      </c>
      <c r="C64" s="5">
        <f t="shared" si="1"/>
        <v>315617.89999999997</v>
      </c>
    </row>
    <row r="65" spans="1:3" ht="12.75">
      <c r="A65" s="11">
        <v>1750</v>
      </c>
      <c r="B65" s="9">
        <v>1554000</v>
      </c>
      <c r="C65" s="5">
        <f t="shared" si="1"/>
        <v>352602.6</v>
      </c>
    </row>
    <row r="66" spans="1:3" ht="12.75">
      <c r="A66" s="11">
        <v>1751</v>
      </c>
      <c r="B66" s="9">
        <v>1486000</v>
      </c>
      <c r="C66" s="5">
        <f t="shared" si="1"/>
        <v>337173.39999999997</v>
      </c>
    </row>
    <row r="67" spans="1:3" ht="12.75">
      <c r="A67" s="11">
        <v>1752</v>
      </c>
      <c r="B67" s="9">
        <v>1603000</v>
      </c>
      <c r="C67" s="5">
        <f t="shared" si="1"/>
        <v>363720.7</v>
      </c>
    </row>
    <row r="68" spans="1:3" ht="12.75">
      <c r="A68" s="11">
        <v>1753</v>
      </c>
      <c r="B68" s="9">
        <v>1364000</v>
      </c>
      <c r="C68" s="5">
        <f t="shared" si="1"/>
        <v>309491.6</v>
      </c>
    </row>
    <row r="69" spans="1:3" ht="12.75">
      <c r="A69" s="11">
        <v>1754</v>
      </c>
      <c r="B69" s="9">
        <v>1364000</v>
      </c>
      <c r="C69" s="5">
        <f aca="true" t="shared" si="2" ref="C69:C100">B69*0.2269</f>
        <v>309491.6</v>
      </c>
    </row>
    <row r="70" spans="1:3" ht="12.75">
      <c r="A70" s="11">
        <v>1755</v>
      </c>
      <c r="B70" s="9">
        <v>1469000</v>
      </c>
      <c r="C70" s="5">
        <f t="shared" si="2"/>
        <v>333316.1</v>
      </c>
    </row>
    <row r="71" spans="1:3" ht="12.75">
      <c r="A71" s="11">
        <v>1756</v>
      </c>
      <c r="B71" s="9">
        <v>1447000</v>
      </c>
      <c r="C71" s="5">
        <f t="shared" si="2"/>
        <v>328324.3</v>
      </c>
    </row>
    <row r="72" spans="1:3" ht="12.75">
      <c r="A72" s="11">
        <v>1757</v>
      </c>
      <c r="B72" s="9">
        <v>1474000</v>
      </c>
      <c r="C72" s="5">
        <f t="shared" si="2"/>
        <v>334450.6</v>
      </c>
    </row>
    <row r="73" spans="1:3" ht="12.75">
      <c r="A73" s="11">
        <v>1758</v>
      </c>
      <c r="B73" s="9">
        <v>1500893</v>
      </c>
      <c r="C73" s="5">
        <f t="shared" si="2"/>
        <v>340552.62169999996</v>
      </c>
    </row>
    <row r="74" spans="1:3" ht="12.75">
      <c r="A74" s="11">
        <v>1759</v>
      </c>
      <c r="B74" s="9">
        <v>1532000</v>
      </c>
      <c r="C74" s="5">
        <f t="shared" si="2"/>
        <v>347610.8</v>
      </c>
    </row>
    <row r="75" spans="1:3" ht="12.75">
      <c r="A75" s="11">
        <v>1760</v>
      </c>
      <c r="B75" s="9">
        <v>1408000</v>
      </c>
      <c r="C75" s="5">
        <f t="shared" si="2"/>
        <v>319475.2</v>
      </c>
    </row>
    <row r="76" spans="1:3" ht="12.75">
      <c r="A76" s="11">
        <v>1761</v>
      </c>
      <c r="B76" s="9">
        <v>1386000</v>
      </c>
      <c r="C76" s="5">
        <f t="shared" si="2"/>
        <v>314483.39999999997</v>
      </c>
    </row>
    <row r="77" spans="1:3" ht="12.75">
      <c r="A77" s="11">
        <v>1762</v>
      </c>
      <c r="B77" s="9">
        <v>1189940</v>
      </c>
      <c r="C77" s="5">
        <f t="shared" si="2"/>
        <v>269997.386</v>
      </c>
    </row>
    <row r="78" spans="1:3" ht="12.75">
      <c r="A78" s="11">
        <v>1763</v>
      </c>
      <c r="B78" s="9">
        <v>1385298</v>
      </c>
      <c r="C78" s="5">
        <f t="shared" si="2"/>
        <v>314324.1162</v>
      </c>
    </row>
    <row r="79" spans="1:3" ht="12.75">
      <c r="A79" s="11">
        <v>1764</v>
      </c>
      <c r="B79" s="9">
        <v>1152063</v>
      </c>
      <c r="C79" s="5">
        <f t="shared" si="2"/>
        <v>261403.0947</v>
      </c>
    </row>
    <row r="80" spans="1:3" ht="12.75">
      <c r="A80" s="11">
        <v>1765</v>
      </c>
      <c r="B80" s="9">
        <v>1365275</v>
      </c>
      <c r="C80" s="5">
        <f t="shared" si="2"/>
        <v>309780.89749999996</v>
      </c>
    </row>
    <row r="81" spans="1:3" ht="12.75">
      <c r="A81" s="11">
        <v>1766</v>
      </c>
      <c r="B81" s="9">
        <v>1318829</v>
      </c>
      <c r="C81" s="5">
        <f t="shared" si="2"/>
        <v>299242.3001</v>
      </c>
    </row>
    <row r="82" spans="1:3" ht="12.75">
      <c r="A82" s="11">
        <v>1767</v>
      </c>
      <c r="B82" s="9">
        <v>1225307</v>
      </c>
      <c r="C82" s="5">
        <f t="shared" si="2"/>
        <v>278022.1583</v>
      </c>
    </row>
    <row r="83" spans="1:3" ht="12.75">
      <c r="A83" s="11">
        <v>1768</v>
      </c>
      <c r="B83" s="9">
        <v>1444583</v>
      </c>
      <c r="C83" s="5">
        <f t="shared" si="2"/>
        <v>327775.88269999996</v>
      </c>
    </row>
    <row r="84" spans="1:3" ht="12.75">
      <c r="A84" s="11">
        <v>1769</v>
      </c>
      <c r="B84" s="9">
        <v>1404564</v>
      </c>
      <c r="C84" s="5">
        <f t="shared" si="2"/>
        <v>318695.57159999997</v>
      </c>
    </row>
    <row r="85" spans="1:3" ht="12.75">
      <c r="A85" s="11">
        <v>1770</v>
      </c>
      <c r="B85" s="9">
        <v>1638391</v>
      </c>
      <c r="C85" s="5">
        <f t="shared" si="2"/>
        <v>371750.9179</v>
      </c>
    </row>
    <row r="86" spans="1:3" ht="12.75">
      <c r="A86" s="11">
        <v>1771</v>
      </c>
      <c r="B86" s="9">
        <v>1506255</v>
      </c>
      <c r="C86" s="5">
        <f t="shared" si="2"/>
        <v>341769.2595</v>
      </c>
    </row>
    <row r="87" spans="1:3" ht="12.75">
      <c r="A87" s="11">
        <v>1772</v>
      </c>
      <c r="B87" s="9">
        <v>1996689</v>
      </c>
      <c r="C87" s="5">
        <f t="shared" si="2"/>
        <v>453048.7341</v>
      </c>
    </row>
    <row r="88" spans="1:3" ht="12.75">
      <c r="A88" s="11">
        <v>1773</v>
      </c>
      <c r="B88" s="9">
        <v>2227442</v>
      </c>
      <c r="C88" s="5">
        <f t="shared" si="2"/>
        <v>505406.58979999996</v>
      </c>
    </row>
    <row r="89" spans="1:3" ht="12.75">
      <c r="A89" s="11">
        <v>1774</v>
      </c>
      <c r="B89" s="9">
        <v>1516714</v>
      </c>
      <c r="C89" s="5">
        <f t="shared" si="2"/>
        <v>344142.4066</v>
      </c>
    </row>
    <row r="90" spans="1:3" ht="12.75">
      <c r="A90" s="11">
        <v>1775</v>
      </c>
      <c r="B90" s="9">
        <v>1675714</v>
      </c>
      <c r="C90" s="5">
        <f t="shared" si="2"/>
        <v>380219.50659999996</v>
      </c>
    </row>
    <row r="91" spans="1:3" ht="12.75">
      <c r="A91" s="11">
        <v>1776</v>
      </c>
      <c r="B91" s="9">
        <v>1936856</v>
      </c>
      <c r="C91" s="5">
        <f t="shared" si="2"/>
        <v>439472.6264</v>
      </c>
    </row>
    <row r="92" spans="1:3" ht="12.75">
      <c r="A92" s="11">
        <v>1777</v>
      </c>
      <c r="B92" s="9">
        <v>2248613</v>
      </c>
      <c r="C92" s="5">
        <f t="shared" si="2"/>
        <v>510210.28969999996</v>
      </c>
    </row>
    <row r="93" spans="1:3" ht="12.75">
      <c r="A93" s="11">
        <v>1778</v>
      </c>
      <c r="B93" s="9">
        <v>2334765</v>
      </c>
      <c r="C93" s="5">
        <f t="shared" si="2"/>
        <v>529758.1784999999</v>
      </c>
    </row>
    <row r="94" spans="1:3" ht="12.75">
      <c r="A94" s="11">
        <v>1779</v>
      </c>
      <c r="B94" s="9">
        <v>2199548</v>
      </c>
      <c r="C94" s="5">
        <f t="shared" si="2"/>
        <v>499077.4412</v>
      </c>
    </row>
    <row r="95" spans="1:3" ht="12.75">
      <c r="A95" s="11">
        <v>1780</v>
      </c>
      <c r="B95" s="9">
        <v>1994073</v>
      </c>
      <c r="C95" s="5">
        <f t="shared" si="2"/>
        <v>452455.1637</v>
      </c>
    </row>
    <row r="96" spans="1:3" ht="12.75">
      <c r="A96" s="11">
        <v>1781</v>
      </c>
      <c r="B96" s="9">
        <v>2311062</v>
      </c>
      <c r="C96" s="5">
        <f t="shared" si="2"/>
        <v>524379.9678</v>
      </c>
    </row>
    <row r="97" spans="1:3" ht="12.75">
      <c r="A97" s="11">
        <v>1782</v>
      </c>
      <c r="B97" s="9">
        <v>2014545</v>
      </c>
      <c r="C97" s="5">
        <f t="shared" si="2"/>
        <v>457100.2605</v>
      </c>
    </row>
    <row r="98" spans="1:3" ht="12.75">
      <c r="A98" s="11">
        <v>1783</v>
      </c>
      <c r="B98" s="9">
        <v>2709167</v>
      </c>
      <c r="C98" s="5">
        <f t="shared" si="2"/>
        <v>614709.9922999999</v>
      </c>
    </row>
    <row r="99" spans="1:3" ht="12.75">
      <c r="A99" s="11">
        <v>1784</v>
      </c>
      <c r="B99" s="9">
        <v>2402965</v>
      </c>
      <c r="C99" s="5">
        <f t="shared" si="2"/>
        <v>545232.7585</v>
      </c>
    </row>
    <row r="100" spans="1:3" ht="12.75">
      <c r="A100" s="11">
        <v>1785</v>
      </c>
      <c r="B100" s="9">
        <v>2111263</v>
      </c>
      <c r="C100" s="5">
        <f t="shared" si="2"/>
        <v>479045.5747</v>
      </c>
    </row>
    <row r="101" spans="1:3" ht="12.75">
      <c r="A101" s="11">
        <v>1786</v>
      </c>
      <c r="B101" s="9">
        <v>1978844</v>
      </c>
      <c r="C101" s="5">
        <f aca="true" t="shared" si="3" ref="C101:C114">B101*0.2269</f>
        <v>448999.7036</v>
      </c>
    </row>
    <row r="102" spans="1:3" ht="12.75">
      <c r="A102" s="11">
        <v>1787</v>
      </c>
      <c r="B102" s="9">
        <v>1819141</v>
      </c>
      <c r="C102" s="5">
        <f t="shared" si="3"/>
        <v>412763.0929</v>
      </c>
    </row>
    <row r="103" spans="1:3" ht="12.75">
      <c r="A103" s="11">
        <v>1788</v>
      </c>
      <c r="B103" s="9">
        <v>2293555</v>
      </c>
      <c r="C103" s="5">
        <f t="shared" si="3"/>
        <v>520407.6295</v>
      </c>
    </row>
    <row r="104" spans="1:3" ht="12.75">
      <c r="A104" s="11">
        <v>1789</v>
      </c>
      <c r="B104" s="9">
        <v>2415821</v>
      </c>
      <c r="C104" s="5">
        <f t="shared" si="3"/>
        <v>548149.7849</v>
      </c>
    </row>
    <row r="105" spans="1:3" ht="12.75">
      <c r="A105" s="11">
        <v>1790</v>
      </c>
      <c r="B105" s="9">
        <v>2045951</v>
      </c>
      <c r="C105" s="5">
        <f t="shared" si="3"/>
        <v>464226.2819</v>
      </c>
    </row>
    <row r="106" spans="1:3" ht="12.75">
      <c r="A106" s="11">
        <v>1791</v>
      </c>
      <c r="B106" s="9">
        <v>2363867</v>
      </c>
      <c r="C106" s="5">
        <f t="shared" si="3"/>
        <v>536361.4223</v>
      </c>
    </row>
    <row r="107" spans="1:3" ht="12.75">
      <c r="A107" s="11">
        <v>1792</v>
      </c>
      <c r="B107" s="9">
        <v>2724105</v>
      </c>
      <c r="C107" s="5">
        <f t="shared" si="3"/>
        <v>618099.4245</v>
      </c>
    </row>
    <row r="108" spans="1:3" ht="12.75">
      <c r="A108" s="11">
        <v>1793</v>
      </c>
      <c r="B108" s="9">
        <v>2747746</v>
      </c>
      <c r="C108" s="5">
        <f t="shared" si="3"/>
        <v>623463.5673999999</v>
      </c>
    </row>
    <row r="109" spans="1:3" ht="12.75">
      <c r="A109" s="11">
        <v>1794</v>
      </c>
      <c r="B109" s="9">
        <v>2488304</v>
      </c>
      <c r="C109" s="5">
        <f t="shared" si="3"/>
        <v>564596.1775999999</v>
      </c>
    </row>
    <row r="110" spans="1:3" ht="12.75">
      <c r="A110" s="11">
        <v>1795</v>
      </c>
      <c r="B110" s="9">
        <v>2808380</v>
      </c>
      <c r="C110" s="5">
        <f t="shared" si="3"/>
        <v>637221.422</v>
      </c>
    </row>
    <row r="111" spans="1:3" ht="12.75">
      <c r="A111" s="11">
        <v>1796</v>
      </c>
      <c r="B111" s="9">
        <v>2854072</v>
      </c>
      <c r="C111" s="5">
        <f t="shared" si="3"/>
        <v>647588.9368</v>
      </c>
    </row>
    <row r="112" spans="1:3" ht="12.75">
      <c r="A112" s="11">
        <v>1797</v>
      </c>
      <c r="B112" s="9">
        <v>2818248</v>
      </c>
      <c r="C112" s="5">
        <f t="shared" si="3"/>
        <v>639460.4712</v>
      </c>
    </row>
    <row r="113" spans="1:3" ht="12.75">
      <c r="A113" s="11">
        <v>1798</v>
      </c>
      <c r="B113" s="9">
        <v>2697038</v>
      </c>
      <c r="C113" s="5">
        <f t="shared" si="3"/>
        <v>611957.9222</v>
      </c>
    </row>
    <row r="114" spans="1:3" ht="12.75">
      <c r="A114" s="11">
        <v>1799</v>
      </c>
      <c r="B114" s="9">
        <v>2473542</v>
      </c>
      <c r="C114" s="5">
        <f t="shared" si="3"/>
        <v>561246.6797999999</v>
      </c>
    </row>
    <row r="115" spans="1:3" ht="12.75">
      <c r="A115" s="11"/>
      <c r="B115" s="9"/>
      <c r="C115" s="5"/>
    </row>
    <row r="116" spans="1:3" ht="12.75">
      <c r="A116" s="11" t="s">
        <v>427</v>
      </c>
      <c r="B116" s="9"/>
      <c r="C116" s="5"/>
    </row>
    <row r="117" spans="1:3" ht="12.75">
      <c r="A117" s="11"/>
      <c r="B117" s="9"/>
      <c r="C117" s="5"/>
    </row>
    <row r="118" spans="1:3" ht="12.75">
      <c r="A118" s="11">
        <v>1800</v>
      </c>
      <c r="B118" s="9">
        <v>2098712</v>
      </c>
      <c r="C118" s="5">
        <f>B118*0.2269</f>
        <v>476197.75279999996</v>
      </c>
    </row>
    <row r="119" spans="1:3" ht="12.75">
      <c r="A119" s="11"/>
      <c r="B119" s="9"/>
      <c r="C119" s="5"/>
    </row>
    <row r="120" spans="1:3" ht="12.75">
      <c r="A120" s="11"/>
      <c r="B120" s="9"/>
      <c r="C120" s="5"/>
    </row>
    <row r="121" spans="1:3" ht="12.75">
      <c r="A121" s="11" t="s">
        <v>528</v>
      </c>
      <c r="B121" s="9" t="s">
        <v>485</v>
      </c>
      <c r="C121" s="5"/>
    </row>
    <row r="122" spans="1:3" ht="12.75">
      <c r="A122" s="11"/>
      <c r="B122" s="9"/>
      <c r="C122" s="5"/>
    </row>
    <row r="123" spans="1:3" ht="12.75">
      <c r="A123" s="11"/>
      <c r="B123" s="9"/>
      <c r="C123" s="5"/>
    </row>
    <row r="124" spans="1:3" ht="12.75">
      <c r="A124" s="11"/>
      <c r="B124" s="9"/>
      <c r="C124" s="5"/>
    </row>
    <row r="125" spans="1:3" ht="12.75">
      <c r="A125" s="11"/>
      <c r="B125" s="9"/>
      <c r="C125" s="5"/>
    </row>
    <row r="126" spans="1:3" ht="12.75">
      <c r="A126" s="11"/>
      <c r="B126" s="9"/>
      <c r="C126" s="5"/>
    </row>
    <row r="127" spans="1:3" ht="12.75">
      <c r="A127" s="11"/>
      <c r="B127" s="9"/>
      <c r="C127" s="5"/>
    </row>
    <row r="128" spans="1:3" ht="12.75">
      <c r="A128" s="11"/>
      <c r="B128" s="9"/>
      <c r="C128" s="5"/>
    </row>
    <row r="129" spans="1:3" ht="12.75">
      <c r="A129" s="11"/>
      <c r="B129" s="9"/>
      <c r="C129" s="5"/>
    </row>
    <row r="130" spans="1:3" ht="12.75">
      <c r="A130" s="11"/>
      <c r="B130" s="9"/>
      <c r="C130" s="5"/>
    </row>
    <row r="131" spans="1:3" ht="12.75">
      <c r="A131" s="11"/>
      <c r="B131" s="9"/>
      <c r="C131" s="5"/>
    </row>
    <row r="132" spans="1:3" ht="12.75">
      <c r="A132" s="11"/>
      <c r="B132" s="9"/>
      <c r="C132" s="5"/>
    </row>
    <row r="133" spans="1:3" ht="12.75">
      <c r="A133" s="11"/>
      <c r="B133" s="9"/>
      <c r="C133" s="5"/>
    </row>
    <row r="134" spans="1:3" ht="12.75">
      <c r="A134" s="11"/>
      <c r="B134" s="9"/>
      <c r="C134" s="5"/>
    </row>
    <row r="135" spans="1:3" ht="12.75">
      <c r="A135" s="11"/>
      <c r="B135" s="9"/>
      <c r="C135" s="5"/>
    </row>
    <row r="136" spans="1:3" ht="12.75">
      <c r="A136" s="11"/>
      <c r="B136" s="9"/>
      <c r="C136" s="5"/>
    </row>
    <row r="137" spans="1:3" ht="12.75">
      <c r="A137" s="11"/>
      <c r="B137" s="9"/>
      <c r="C137" s="5"/>
    </row>
    <row r="138" spans="1:3" ht="12.75">
      <c r="A138" s="11"/>
      <c r="B138" s="9"/>
      <c r="C138" s="5"/>
    </row>
    <row r="139" spans="1:3" ht="12.75">
      <c r="A139" s="11"/>
      <c r="B139" s="9"/>
      <c r="C139" s="5"/>
    </row>
    <row r="140" spans="1:3" ht="12.75">
      <c r="A140" s="11"/>
      <c r="B140" s="9"/>
      <c r="C140" s="5"/>
    </row>
    <row r="141" spans="1:3" ht="12.75">
      <c r="A141" s="11"/>
      <c r="B141" s="9"/>
      <c r="C141" s="5"/>
    </row>
    <row r="142" spans="1:3" ht="12.75">
      <c r="A142" s="11"/>
      <c r="B142" s="9"/>
      <c r="C142" s="5"/>
    </row>
    <row r="143" spans="1:3" ht="12.75">
      <c r="A143" s="11"/>
      <c r="B143" s="9"/>
      <c r="C143" s="5"/>
    </row>
    <row r="144" spans="1:3" ht="12.75">
      <c r="A144" s="11"/>
      <c r="B144" s="9"/>
      <c r="C144" s="5"/>
    </row>
    <row r="145" spans="1:3" ht="12.75">
      <c r="A145" s="11"/>
      <c r="B145" s="9"/>
      <c r="C145" s="5"/>
    </row>
    <row r="146" spans="1:3" ht="12.75">
      <c r="A146" s="11"/>
      <c r="B146" s="9"/>
      <c r="C146" s="5"/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9.140625" defaultRowHeight="12.75"/>
  <cols>
    <col min="1" max="2" width="8.421875" style="11" customWidth="1"/>
    <col min="3" max="3" width="22.421875" style="2" customWidth="1"/>
    <col min="4" max="4" width="16.140625" style="12" customWidth="1"/>
    <col min="5" max="5" width="22.421875" style="2" customWidth="1"/>
    <col min="6" max="6" width="8.421875" style="12" customWidth="1"/>
    <col min="7" max="7" width="19.28125" style="2" customWidth="1"/>
    <col min="8" max="8" width="22.421875" style="5" customWidth="1"/>
    <col min="9" max="9" width="24.00390625" style="5" customWidth="1"/>
    <col min="10" max="10" width="23.28125" style="5" customWidth="1"/>
  </cols>
  <sheetData>
    <row r="1" ht="12.75">
      <c r="C1" s="13" t="s">
        <v>571</v>
      </c>
    </row>
    <row r="2" ht="12.75">
      <c r="C2" s="1" t="s">
        <v>548</v>
      </c>
    </row>
    <row r="3" ht="12.75">
      <c r="C3" s="1" t="s">
        <v>499</v>
      </c>
    </row>
    <row r="4" ht="12.75">
      <c r="C4" s="1" t="s">
        <v>14</v>
      </c>
    </row>
    <row r="5" ht="12.75">
      <c r="C5" s="1"/>
    </row>
    <row r="6" ht="12.75">
      <c r="C6" s="1"/>
    </row>
    <row r="7" spans="1:10" ht="12.75">
      <c r="A7" s="11" t="s">
        <v>575</v>
      </c>
      <c r="B7" s="11" t="s">
        <v>575</v>
      </c>
      <c r="C7" s="3" t="s">
        <v>496</v>
      </c>
      <c r="D7" s="14" t="s">
        <v>471</v>
      </c>
      <c r="E7" s="3" t="s">
        <v>489</v>
      </c>
      <c r="F7" s="14" t="s">
        <v>471</v>
      </c>
      <c r="G7" s="3" t="s">
        <v>562</v>
      </c>
      <c r="H7" s="4" t="s">
        <v>494</v>
      </c>
      <c r="I7" s="4" t="s">
        <v>488</v>
      </c>
      <c r="J7" s="4" t="s">
        <v>563</v>
      </c>
    </row>
    <row r="8" spans="1:10" ht="12.75">
      <c r="A8" s="11" t="s">
        <v>242</v>
      </c>
      <c r="B8" s="11" t="s">
        <v>276</v>
      </c>
      <c r="C8" s="3" t="s">
        <v>462</v>
      </c>
      <c r="D8" s="14"/>
      <c r="E8" s="3" t="s">
        <v>462</v>
      </c>
      <c r="F8" s="14"/>
      <c r="G8" s="3" t="s">
        <v>200</v>
      </c>
      <c r="H8" s="4" t="s">
        <v>462</v>
      </c>
      <c r="I8" s="4" t="s">
        <v>462</v>
      </c>
      <c r="J8" s="4" t="s">
        <v>484</v>
      </c>
    </row>
    <row r="10" spans="1:10" ht="12.75">
      <c r="A10" s="11">
        <v>1503</v>
      </c>
      <c r="B10" s="11">
        <v>1505</v>
      </c>
      <c r="C10" s="2">
        <v>97216.5</v>
      </c>
      <c r="D10" s="12">
        <f aca="true" t="shared" si="0" ref="D10:D41">C10/G10</f>
        <v>0.26200003072318334</v>
      </c>
      <c r="E10" s="2">
        <v>273838.8</v>
      </c>
      <c r="F10" s="12">
        <f aca="true" t="shared" si="1" ref="F10:F41">E10/G10</f>
        <v>0.7379999692768167</v>
      </c>
      <c r="G10" s="2">
        <f aca="true" t="shared" si="2" ref="G10:G41">C10+E10</f>
        <v>371055.3</v>
      </c>
      <c r="H10" s="5">
        <f>C10/3</f>
        <v>32405.5</v>
      </c>
      <c r="I10" s="5">
        <f>E10/3</f>
        <v>91279.59999999999</v>
      </c>
      <c r="J10" s="5">
        <f>G10/3</f>
        <v>123685.09999999999</v>
      </c>
    </row>
    <row r="11" spans="1:10" ht="12.75">
      <c r="A11" s="11">
        <v>1506</v>
      </c>
      <c r="B11" s="11">
        <v>1510</v>
      </c>
      <c r="C11" s="2">
        <v>213854</v>
      </c>
      <c r="D11" s="12">
        <f t="shared" si="0"/>
        <v>0.2620000453299993</v>
      </c>
      <c r="E11" s="2">
        <v>602382.5</v>
      </c>
      <c r="F11" s="12">
        <f t="shared" si="1"/>
        <v>0.7379999546700007</v>
      </c>
      <c r="G11" s="2">
        <f t="shared" si="2"/>
        <v>816236.5</v>
      </c>
      <c r="H11" s="5">
        <f aca="true" t="shared" si="3" ref="H11:H41">C11/5</f>
        <v>42770.8</v>
      </c>
      <c r="I11" s="5">
        <f aca="true" t="shared" si="4" ref="I11:I41">E11/5</f>
        <v>120476.5</v>
      </c>
      <c r="J11" s="5">
        <f aca="true" t="shared" si="5" ref="J11:J41">G11/5</f>
        <v>163247.3</v>
      </c>
    </row>
    <row r="12" spans="1:10" ht="12.75">
      <c r="A12" s="11">
        <v>1511</v>
      </c>
      <c r="B12" s="11">
        <v>1515</v>
      </c>
      <c r="C12" s="2">
        <v>313235</v>
      </c>
      <c r="D12" s="12">
        <f t="shared" si="0"/>
        <v>0.2619999857806447</v>
      </c>
      <c r="E12" s="2">
        <v>882318.5</v>
      </c>
      <c r="F12" s="12">
        <f t="shared" si="1"/>
        <v>0.7380000142193553</v>
      </c>
      <c r="G12" s="2">
        <f t="shared" si="2"/>
        <v>1195553.5</v>
      </c>
      <c r="H12" s="5">
        <f t="shared" si="3"/>
        <v>62647</v>
      </c>
      <c r="I12" s="5">
        <f t="shared" si="4"/>
        <v>176463.7</v>
      </c>
      <c r="J12" s="5">
        <f t="shared" si="5"/>
        <v>239110.7</v>
      </c>
    </row>
    <row r="13" spans="1:10" ht="12.75">
      <c r="A13" s="11">
        <v>1516</v>
      </c>
      <c r="B13" s="11">
        <v>1520</v>
      </c>
      <c r="C13" s="2">
        <v>260217.5</v>
      </c>
      <c r="D13" s="12">
        <f t="shared" si="0"/>
        <v>0.26200001711645177</v>
      </c>
      <c r="E13" s="2">
        <v>732979</v>
      </c>
      <c r="F13" s="12">
        <f t="shared" si="1"/>
        <v>0.7379999828835482</v>
      </c>
      <c r="G13" s="2">
        <f t="shared" si="2"/>
        <v>993196.5</v>
      </c>
      <c r="H13" s="5">
        <f t="shared" si="3"/>
        <v>52043.5</v>
      </c>
      <c r="I13" s="5">
        <f t="shared" si="4"/>
        <v>146595.8</v>
      </c>
      <c r="J13" s="5">
        <f t="shared" si="5"/>
        <v>198639.3</v>
      </c>
    </row>
    <row r="14" spans="1:10" ht="12.75">
      <c r="A14" s="11">
        <v>1521</v>
      </c>
      <c r="B14" s="11">
        <v>1525</v>
      </c>
      <c r="C14" s="2">
        <v>35152.5</v>
      </c>
      <c r="D14" s="12">
        <f t="shared" si="0"/>
        <v>0.261999701870761</v>
      </c>
      <c r="E14" s="2">
        <v>99017.5</v>
      </c>
      <c r="F14" s="12">
        <f t="shared" si="1"/>
        <v>0.7380002981292391</v>
      </c>
      <c r="G14" s="2">
        <f t="shared" si="2"/>
        <v>134170</v>
      </c>
      <c r="H14" s="5">
        <f t="shared" si="3"/>
        <v>7030.5</v>
      </c>
      <c r="I14" s="5">
        <f t="shared" si="4"/>
        <v>19803.5</v>
      </c>
      <c r="J14" s="5">
        <f t="shared" si="5"/>
        <v>26834</v>
      </c>
    </row>
    <row r="15" spans="1:10" ht="12.75">
      <c r="A15" s="11">
        <v>1526</v>
      </c>
      <c r="B15" s="11">
        <v>1530</v>
      </c>
      <c r="C15" s="2">
        <v>272070.5</v>
      </c>
      <c r="D15" s="12">
        <f t="shared" si="0"/>
        <v>0.2620000057779143</v>
      </c>
      <c r="E15" s="2">
        <v>766366.5</v>
      </c>
      <c r="F15" s="12">
        <f t="shared" si="1"/>
        <v>0.7379999942220857</v>
      </c>
      <c r="G15" s="2">
        <f t="shared" si="2"/>
        <v>1038437</v>
      </c>
      <c r="H15" s="5">
        <f t="shared" si="3"/>
        <v>54414.1</v>
      </c>
      <c r="I15" s="5">
        <f t="shared" si="4"/>
        <v>153273.3</v>
      </c>
      <c r="J15" s="5">
        <f t="shared" si="5"/>
        <v>207687.4</v>
      </c>
    </row>
    <row r="16" spans="1:10" ht="12.75">
      <c r="A16" s="11">
        <v>1531</v>
      </c>
      <c r="B16" s="11">
        <v>1535</v>
      </c>
      <c r="C16" s="2">
        <v>432360.5</v>
      </c>
      <c r="D16" s="12">
        <f t="shared" si="0"/>
        <v>0.2619999866685331</v>
      </c>
      <c r="E16" s="2">
        <v>1217870.5</v>
      </c>
      <c r="F16" s="12">
        <f t="shared" si="1"/>
        <v>0.7380000133314669</v>
      </c>
      <c r="G16" s="2">
        <f t="shared" si="2"/>
        <v>1650231</v>
      </c>
      <c r="H16" s="5">
        <f t="shared" si="3"/>
        <v>86472.1</v>
      </c>
      <c r="I16" s="5">
        <f t="shared" si="4"/>
        <v>243574.1</v>
      </c>
      <c r="J16" s="5">
        <f t="shared" si="5"/>
        <v>330046.2</v>
      </c>
    </row>
    <row r="17" spans="1:10" ht="12.75">
      <c r="A17" s="11">
        <v>1536</v>
      </c>
      <c r="B17" s="11">
        <v>1540</v>
      </c>
      <c r="C17" s="2">
        <v>1350885</v>
      </c>
      <c r="D17" s="12">
        <f t="shared" si="0"/>
        <v>0.34304775245232727</v>
      </c>
      <c r="E17" s="2">
        <v>2587007</v>
      </c>
      <c r="F17" s="12">
        <f t="shared" si="1"/>
        <v>0.6569522475476727</v>
      </c>
      <c r="G17" s="2">
        <f t="shared" si="2"/>
        <v>3937892</v>
      </c>
      <c r="H17" s="5">
        <f t="shared" si="3"/>
        <v>270177</v>
      </c>
      <c r="I17" s="5">
        <f t="shared" si="4"/>
        <v>517401.4</v>
      </c>
      <c r="J17" s="5">
        <f t="shared" si="5"/>
        <v>787578.4</v>
      </c>
    </row>
    <row r="18" spans="1:10" ht="12.75">
      <c r="A18" s="11">
        <v>1541</v>
      </c>
      <c r="B18" s="11">
        <v>1545</v>
      </c>
      <c r="C18" s="2">
        <v>757788.5</v>
      </c>
      <c r="D18" s="12">
        <f t="shared" si="0"/>
        <v>0.15296482341055367</v>
      </c>
      <c r="E18" s="2">
        <v>4196216.5</v>
      </c>
      <c r="F18" s="12">
        <f t="shared" si="1"/>
        <v>0.8470351765894463</v>
      </c>
      <c r="G18" s="2">
        <f t="shared" si="2"/>
        <v>4954005</v>
      </c>
      <c r="H18" s="5">
        <f t="shared" si="3"/>
        <v>151557.7</v>
      </c>
      <c r="I18" s="5">
        <f t="shared" si="4"/>
        <v>839243.3</v>
      </c>
      <c r="J18" s="5">
        <f t="shared" si="5"/>
        <v>990801</v>
      </c>
    </row>
    <row r="19" spans="1:10" ht="12.75">
      <c r="A19" s="11">
        <v>1546</v>
      </c>
      <c r="B19" s="11">
        <v>1550</v>
      </c>
      <c r="C19" s="2">
        <v>1592671.5</v>
      </c>
      <c r="D19" s="12">
        <f t="shared" si="0"/>
        <v>0.2891187248704824</v>
      </c>
      <c r="E19" s="2">
        <v>3916039.5</v>
      </c>
      <c r="F19" s="12">
        <f t="shared" si="1"/>
        <v>0.7108812751295176</v>
      </c>
      <c r="G19" s="2">
        <f t="shared" si="2"/>
        <v>5508711</v>
      </c>
      <c r="H19" s="5">
        <f t="shared" si="3"/>
        <v>318534.3</v>
      </c>
      <c r="I19" s="5">
        <f t="shared" si="4"/>
        <v>783207.9</v>
      </c>
      <c r="J19" s="5">
        <f t="shared" si="5"/>
        <v>1101742.2</v>
      </c>
    </row>
    <row r="20" spans="1:10" ht="12.75">
      <c r="A20" s="11">
        <v>1551</v>
      </c>
      <c r="B20" s="11">
        <v>1555</v>
      </c>
      <c r="C20" s="2">
        <v>3628506.5</v>
      </c>
      <c r="D20" s="12">
        <f t="shared" si="0"/>
        <v>0.3677963710214889</v>
      </c>
      <c r="E20" s="2">
        <v>6237024.5</v>
      </c>
      <c r="F20" s="12">
        <f t="shared" si="1"/>
        <v>0.6322036289785111</v>
      </c>
      <c r="G20" s="2">
        <f t="shared" si="2"/>
        <v>9865531</v>
      </c>
      <c r="H20" s="5">
        <f t="shared" si="3"/>
        <v>725701.3</v>
      </c>
      <c r="I20" s="5">
        <f t="shared" si="4"/>
        <v>1247404.9</v>
      </c>
      <c r="J20" s="5">
        <f t="shared" si="5"/>
        <v>1973106.2</v>
      </c>
    </row>
    <row r="21" spans="1:10" ht="12.75">
      <c r="A21" s="11">
        <v>1556</v>
      </c>
      <c r="B21" s="11">
        <v>1560</v>
      </c>
      <c r="C21" s="2">
        <v>1568495.5</v>
      </c>
      <c r="D21" s="12">
        <f t="shared" si="0"/>
        <v>0.19608648507685056</v>
      </c>
      <c r="E21" s="2">
        <v>6430503</v>
      </c>
      <c r="F21" s="12">
        <f t="shared" si="1"/>
        <v>0.8039135149231494</v>
      </c>
      <c r="G21" s="2">
        <f t="shared" si="2"/>
        <v>7998998.5</v>
      </c>
      <c r="H21" s="5">
        <f t="shared" si="3"/>
        <v>313699.1</v>
      </c>
      <c r="I21" s="5">
        <f t="shared" si="4"/>
        <v>1286100.6</v>
      </c>
      <c r="J21" s="5">
        <f t="shared" si="5"/>
        <v>1599799.7</v>
      </c>
    </row>
    <row r="22" spans="1:10" ht="12.75">
      <c r="A22" s="11">
        <v>1561</v>
      </c>
      <c r="B22" s="11">
        <v>1565</v>
      </c>
      <c r="C22" s="2">
        <v>1819533</v>
      </c>
      <c r="D22" s="12">
        <f t="shared" si="0"/>
        <v>0.1623490730856931</v>
      </c>
      <c r="E22" s="2">
        <v>9388002.5</v>
      </c>
      <c r="F22" s="12">
        <f t="shared" si="1"/>
        <v>0.8376509269143069</v>
      </c>
      <c r="G22" s="2">
        <f t="shared" si="2"/>
        <v>11207535.5</v>
      </c>
      <c r="H22" s="5">
        <f t="shared" si="3"/>
        <v>363906.6</v>
      </c>
      <c r="I22" s="5">
        <f t="shared" si="4"/>
        <v>1877600.5</v>
      </c>
      <c r="J22" s="5">
        <f t="shared" si="5"/>
        <v>2241507.1</v>
      </c>
    </row>
    <row r="23" spans="1:10" ht="12.75">
      <c r="A23" s="11">
        <v>1566</v>
      </c>
      <c r="B23" s="11">
        <v>1570</v>
      </c>
      <c r="C23" s="2">
        <v>3784743</v>
      </c>
      <c r="D23" s="12">
        <f t="shared" si="0"/>
        <v>0.2676391573270346</v>
      </c>
      <c r="E23" s="2">
        <v>10356472.5</v>
      </c>
      <c r="F23" s="12">
        <f t="shared" si="1"/>
        <v>0.7323608426729654</v>
      </c>
      <c r="G23" s="2">
        <f t="shared" si="2"/>
        <v>14141215.5</v>
      </c>
      <c r="H23" s="5">
        <f t="shared" si="3"/>
        <v>756948.6</v>
      </c>
      <c r="I23" s="5">
        <f t="shared" si="4"/>
        <v>2071294.5</v>
      </c>
      <c r="J23" s="5">
        <f t="shared" si="5"/>
        <v>2828243.1</v>
      </c>
    </row>
    <row r="24" spans="1:10" ht="12.75">
      <c r="A24" s="11">
        <v>1571</v>
      </c>
      <c r="B24" s="11">
        <v>1575</v>
      </c>
      <c r="C24" s="2">
        <v>3298660.5</v>
      </c>
      <c r="D24" s="12">
        <f t="shared" si="0"/>
        <v>0.2770444968840415</v>
      </c>
      <c r="E24" s="2">
        <v>8607948.5</v>
      </c>
      <c r="F24" s="12">
        <f t="shared" si="1"/>
        <v>0.7229555031159586</v>
      </c>
      <c r="G24" s="2">
        <f t="shared" si="2"/>
        <v>11906609</v>
      </c>
      <c r="H24" s="5">
        <f t="shared" si="3"/>
        <v>659732.1</v>
      </c>
      <c r="I24" s="5">
        <f t="shared" si="4"/>
        <v>1721589.7</v>
      </c>
      <c r="J24" s="5">
        <f t="shared" si="5"/>
        <v>2381321.8</v>
      </c>
    </row>
    <row r="25" spans="1:10" ht="12.75">
      <c r="A25" s="11">
        <v>1576</v>
      </c>
      <c r="B25" s="11">
        <v>1580</v>
      </c>
      <c r="C25" s="2">
        <v>6649678.5</v>
      </c>
      <c r="D25" s="12">
        <f t="shared" si="0"/>
        <v>0.38544523772716355</v>
      </c>
      <c r="E25" s="2">
        <v>10602262.5</v>
      </c>
      <c r="F25" s="12">
        <f t="shared" si="1"/>
        <v>0.6145547622728365</v>
      </c>
      <c r="G25" s="2">
        <f t="shared" si="2"/>
        <v>17251941</v>
      </c>
      <c r="H25" s="5">
        <f t="shared" si="3"/>
        <v>1329935.7</v>
      </c>
      <c r="I25" s="5">
        <f t="shared" si="4"/>
        <v>2120452.5</v>
      </c>
      <c r="J25" s="5">
        <f t="shared" si="5"/>
        <v>3450388.2</v>
      </c>
    </row>
    <row r="26" spans="1:10" ht="12.75">
      <c r="A26" s="11">
        <v>1581</v>
      </c>
      <c r="B26" s="11">
        <v>1585</v>
      </c>
      <c r="C26" s="2">
        <v>7550604</v>
      </c>
      <c r="D26" s="12">
        <f t="shared" si="0"/>
        <v>0.2570452334825733</v>
      </c>
      <c r="E26" s="2">
        <v>21824008</v>
      </c>
      <c r="F26" s="12">
        <f t="shared" si="1"/>
        <v>0.7429547665174266</v>
      </c>
      <c r="G26" s="2">
        <f t="shared" si="2"/>
        <v>29374612</v>
      </c>
      <c r="H26" s="5">
        <f t="shared" si="3"/>
        <v>1510120.8</v>
      </c>
      <c r="I26" s="5">
        <f t="shared" si="4"/>
        <v>4364801.6</v>
      </c>
      <c r="J26" s="5">
        <f t="shared" si="5"/>
        <v>5874922.4</v>
      </c>
    </row>
    <row r="27" spans="1:10" ht="12.75">
      <c r="A27" s="11">
        <v>1586</v>
      </c>
      <c r="B27" s="11">
        <v>1590</v>
      </c>
      <c r="C27" s="2">
        <v>8043212.5</v>
      </c>
      <c r="D27" s="12">
        <f t="shared" si="0"/>
        <v>0.33748739989066673</v>
      </c>
      <c r="E27" s="2">
        <v>15789418</v>
      </c>
      <c r="F27" s="12">
        <f t="shared" si="1"/>
        <v>0.6625126001093333</v>
      </c>
      <c r="G27" s="2">
        <f t="shared" si="2"/>
        <v>23832630.5</v>
      </c>
      <c r="H27" s="5">
        <f t="shared" si="3"/>
        <v>1608642.5</v>
      </c>
      <c r="I27" s="5">
        <f t="shared" si="4"/>
        <v>3157883.6</v>
      </c>
      <c r="J27" s="5">
        <f t="shared" si="5"/>
        <v>4766526.1</v>
      </c>
    </row>
    <row r="28" spans="1:10" ht="12.75">
      <c r="A28" s="11">
        <v>1591</v>
      </c>
      <c r="B28" s="11">
        <v>1595</v>
      </c>
      <c r="C28" s="2">
        <v>10023348.5</v>
      </c>
      <c r="D28" s="12">
        <f t="shared" si="0"/>
        <v>0.2848767278826228</v>
      </c>
      <c r="E28" s="2">
        <v>25161514</v>
      </c>
      <c r="F28" s="12">
        <f t="shared" si="1"/>
        <v>0.7151232721173771</v>
      </c>
      <c r="G28" s="2">
        <f t="shared" si="2"/>
        <v>35184862.5</v>
      </c>
      <c r="H28" s="5">
        <f t="shared" si="3"/>
        <v>2004669.7</v>
      </c>
      <c r="I28" s="5">
        <f t="shared" si="4"/>
        <v>5032302.8</v>
      </c>
      <c r="J28" s="5">
        <f t="shared" si="5"/>
        <v>7036972.5</v>
      </c>
    </row>
    <row r="29" spans="1:10" ht="12.75">
      <c r="A29" s="11">
        <v>1596</v>
      </c>
      <c r="B29" s="11">
        <v>1600</v>
      </c>
      <c r="C29" s="2">
        <v>10974318</v>
      </c>
      <c r="D29" s="12">
        <f t="shared" si="0"/>
        <v>0.3187567811732027</v>
      </c>
      <c r="E29" s="2">
        <v>23454182.5</v>
      </c>
      <c r="F29" s="12">
        <f t="shared" si="1"/>
        <v>0.6812432188267973</v>
      </c>
      <c r="G29" s="2">
        <f t="shared" si="2"/>
        <v>34428500.5</v>
      </c>
      <c r="H29" s="5">
        <f t="shared" si="3"/>
        <v>2194863.6</v>
      </c>
      <c r="I29" s="5">
        <f t="shared" si="4"/>
        <v>4690836.5</v>
      </c>
      <c r="J29" s="5">
        <f t="shared" si="5"/>
        <v>6885700.1</v>
      </c>
    </row>
    <row r="30" spans="1:10" ht="12.75">
      <c r="A30" s="11">
        <v>1601</v>
      </c>
      <c r="B30" s="11">
        <v>1605</v>
      </c>
      <c r="C30" s="2">
        <v>6519885.5</v>
      </c>
      <c r="D30" s="12">
        <f t="shared" si="0"/>
        <v>0.2671719816248013</v>
      </c>
      <c r="E30" s="2">
        <v>17883442.5</v>
      </c>
      <c r="F30" s="12">
        <f t="shared" si="1"/>
        <v>0.7328280183751986</v>
      </c>
      <c r="G30" s="2">
        <f t="shared" si="2"/>
        <v>24403328</v>
      </c>
      <c r="H30" s="5">
        <f t="shared" si="3"/>
        <v>1303977.1</v>
      </c>
      <c r="I30" s="5">
        <f t="shared" si="4"/>
        <v>3576688.5</v>
      </c>
      <c r="J30" s="5">
        <f t="shared" si="5"/>
        <v>4880665.6</v>
      </c>
    </row>
    <row r="31" spans="1:10" ht="12.75">
      <c r="A31" s="11">
        <v>1606</v>
      </c>
      <c r="B31" s="11">
        <v>1610</v>
      </c>
      <c r="C31" s="2">
        <v>8549679</v>
      </c>
      <c r="D31" s="12">
        <f t="shared" si="0"/>
        <v>0.27223762607264457</v>
      </c>
      <c r="E31" s="2">
        <v>22855528</v>
      </c>
      <c r="F31" s="12">
        <f t="shared" si="1"/>
        <v>0.7277623739273554</v>
      </c>
      <c r="G31" s="2">
        <f t="shared" si="2"/>
        <v>31405207</v>
      </c>
      <c r="H31" s="5">
        <f t="shared" si="3"/>
        <v>1709935.8</v>
      </c>
      <c r="I31" s="5">
        <f t="shared" si="4"/>
        <v>4571105.6</v>
      </c>
      <c r="J31" s="5">
        <f t="shared" si="5"/>
        <v>6281041.4</v>
      </c>
    </row>
    <row r="32" spans="1:10" ht="12.75">
      <c r="A32" s="11">
        <v>1611</v>
      </c>
      <c r="B32" s="11">
        <v>1615</v>
      </c>
      <c r="C32" s="2">
        <v>7212921.5</v>
      </c>
      <c r="D32" s="12">
        <f t="shared" si="0"/>
        <v>0.29406743578253375</v>
      </c>
      <c r="E32" s="2">
        <v>17315199</v>
      </c>
      <c r="F32" s="12">
        <f t="shared" si="1"/>
        <v>0.7059325642174662</v>
      </c>
      <c r="G32" s="2">
        <f t="shared" si="2"/>
        <v>24528120.5</v>
      </c>
      <c r="H32" s="5">
        <f t="shared" si="3"/>
        <v>1442584.3</v>
      </c>
      <c r="I32" s="5">
        <f t="shared" si="4"/>
        <v>3463039.8</v>
      </c>
      <c r="J32" s="5">
        <f t="shared" si="5"/>
        <v>4905624.1</v>
      </c>
    </row>
    <row r="33" spans="1:10" ht="12.75">
      <c r="A33" s="11">
        <v>1616</v>
      </c>
      <c r="B33" s="11">
        <v>1620</v>
      </c>
      <c r="C33" s="2">
        <v>4347788</v>
      </c>
      <c r="D33" s="12">
        <f t="shared" si="0"/>
        <v>0.14438501537237408</v>
      </c>
      <c r="E33" s="2">
        <v>25764672</v>
      </c>
      <c r="F33" s="12">
        <f t="shared" si="1"/>
        <v>0.8556149846276259</v>
      </c>
      <c r="G33" s="2">
        <f t="shared" si="2"/>
        <v>30112460</v>
      </c>
      <c r="H33" s="5">
        <f t="shared" si="3"/>
        <v>869557.6</v>
      </c>
      <c r="I33" s="5">
        <f t="shared" si="4"/>
        <v>5152934.4</v>
      </c>
      <c r="J33" s="5">
        <f t="shared" si="5"/>
        <v>6022492</v>
      </c>
    </row>
    <row r="34" spans="1:10" ht="12.75">
      <c r="A34" s="11">
        <v>1621</v>
      </c>
      <c r="B34" s="11">
        <v>1625</v>
      </c>
      <c r="C34" s="2">
        <v>4891156</v>
      </c>
      <c r="D34" s="12">
        <f t="shared" si="0"/>
        <v>0.1810823078731621</v>
      </c>
      <c r="E34" s="2">
        <v>22119522.5</v>
      </c>
      <c r="F34" s="12">
        <f t="shared" si="1"/>
        <v>0.818917692126838</v>
      </c>
      <c r="G34" s="2">
        <f t="shared" si="2"/>
        <v>27010678.5</v>
      </c>
      <c r="H34" s="5">
        <f t="shared" si="3"/>
        <v>978231.2</v>
      </c>
      <c r="I34" s="5">
        <f t="shared" si="4"/>
        <v>4423904.5</v>
      </c>
      <c r="J34" s="5">
        <f t="shared" si="5"/>
        <v>5402135.7</v>
      </c>
    </row>
    <row r="35" spans="1:10" ht="12.75">
      <c r="A35" s="11">
        <v>1626</v>
      </c>
      <c r="B35" s="11">
        <v>1630</v>
      </c>
      <c r="C35" s="2">
        <v>4618801</v>
      </c>
      <c r="D35" s="12">
        <f t="shared" si="0"/>
        <v>0.18508870524952659</v>
      </c>
      <c r="E35" s="2">
        <v>20335725.5</v>
      </c>
      <c r="F35" s="12">
        <f t="shared" si="1"/>
        <v>0.8149112947504734</v>
      </c>
      <c r="G35" s="2">
        <f t="shared" si="2"/>
        <v>24954526.5</v>
      </c>
      <c r="H35" s="5">
        <f t="shared" si="3"/>
        <v>923760.2</v>
      </c>
      <c r="I35" s="5">
        <f t="shared" si="4"/>
        <v>4067145.1</v>
      </c>
      <c r="J35" s="5">
        <f t="shared" si="5"/>
        <v>4990905.3</v>
      </c>
    </row>
    <row r="36" spans="1:10" ht="12.75">
      <c r="A36" s="11">
        <v>1631</v>
      </c>
      <c r="B36" s="11">
        <v>1635</v>
      </c>
      <c r="C36" s="2">
        <v>4733824.5</v>
      </c>
      <c r="D36" s="12">
        <f t="shared" si="0"/>
        <v>0.27665623819828045</v>
      </c>
      <c r="E36" s="2">
        <v>12377029.5</v>
      </c>
      <c r="F36" s="12">
        <f t="shared" si="1"/>
        <v>0.7233437618017196</v>
      </c>
      <c r="G36" s="2">
        <f t="shared" si="2"/>
        <v>17110854</v>
      </c>
      <c r="H36" s="5">
        <f t="shared" si="3"/>
        <v>946764.9</v>
      </c>
      <c r="I36" s="5">
        <f t="shared" si="4"/>
        <v>2475405.9</v>
      </c>
      <c r="J36" s="5">
        <f t="shared" si="5"/>
        <v>3422170.8</v>
      </c>
    </row>
    <row r="37" spans="1:10" ht="12.75">
      <c r="A37" s="11">
        <v>1636</v>
      </c>
      <c r="B37" s="11">
        <v>1640</v>
      </c>
      <c r="C37" s="2">
        <v>4691303</v>
      </c>
      <c r="D37" s="12">
        <f t="shared" si="0"/>
        <v>0.28755240244291586</v>
      </c>
      <c r="E37" s="2">
        <v>11623299</v>
      </c>
      <c r="F37" s="12">
        <f t="shared" si="1"/>
        <v>0.7124475975570841</v>
      </c>
      <c r="G37" s="2">
        <f t="shared" si="2"/>
        <v>16314602</v>
      </c>
      <c r="H37" s="5">
        <f t="shared" si="3"/>
        <v>938260.6</v>
      </c>
      <c r="I37" s="5">
        <f t="shared" si="4"/>
        <v>2324659.8</v>
      </c>
      <c r="J37" s="5">
        <f t="shared" si="5"/>
        <v>3262920.4</v>
      </c>
    </row>
    <row r="38" spans="1:10" ht="12.75">
      <c r="A38" s="11">
        <v>1641</v>
      </c>
      <c r="B38" s="11">
        <v>1645</v>
      </c>
      <c r="C38" s="2">
        <v>4643662</v>
      </c>
      <c r="D38" s="12">
        <f t="shared" si="0"/>
        <v>0.33738220233834365</v>
      </c>
      <c r="E38" s="2">
        <v>9120140.5</v>
      </c>
      <c r="F38" s="12">
        <f t="shared" si="1"/>
        <v>0.6626177976616564</v>
      </c>
      <c r="G38" s="2">
        <f t="shared" si="2"/>
        <v>13763802.5</v>
      </c>
      <c r="H38" s="5">
        <f t="shared" si="3"/>
        <v>928732.4</v>
      </c>
      <c r="I38" s="5">
        <f t="shared" si="4"/>
        <v>1824028.1</v>
      </c>
      <c r="J38" s="5">
        <f t="shared" si="5"/>
        <v>2752760.5</v>
      </c>
    </row>
    <row r="39" spans="1:10" ht="12.75">
      <c r="A39" s="11">
        <v>1646</v>
      </c>
      <c r="B39" s="11">
        <v>1650</v>
      </c>
      <c r="C39" s="2">
        <v>1665112.5</v>
      </c>
      <c r="D39" s="12">
        <f t="shared" si="0"/>
        <v>0.14146432616937854</v>
      </c>
      <c r="E39" s="2">
        <v>10105434.5</v>
      </c>
      <c r="F39" s="12">
        <f t="shared" si="1"/>
        <v>0.8585356738306215</v>
      </c>
      <c r="G39" s="2">
        <f t="shared" si="2"/>
        <v>11770547</v>
      </c>
      <c r="H39" s="5">
        <f t="shared" si="3"/>
        <v>333022.5</v>
      </c>
      <c r="I39" s="5">
        <f t="shared" si="4"/>
        <v>2021086.9</v>
      </c>
      <c r="J39" s="5">
        <f t="shared" si="5"/>
        <v>2354109.4</v>
      </c>
    </row>
    <row r="40" spans="1:10" ht="12.75">
      <c r="A40" s="11">
        <v>1651</v>
      </c>
      <c r="B40" s="11">
        <v>1655</v>
      </c>
      <c r="C40" s="2">
        <v>2238878</v>
      </c>
      <c r="D40" s="12">
        <f t="shared" si="0"/>
        <v>0.30695770786206905</v>
      </c>
      <c r="E40" s="2">
        <v>5054889</v>
      </c>
      <c r="F40" s="12">
        <f t="shared" si="1"/>
        <v>0.6930422921379309</v>
      </c>
      <c r="G40" s="2">
        <f t="shared" si="2"/>
        <v>7293767</v>
      </c>
      <c r="H40" s="5">
        <f t="shared" si="3"/>
        <v>447775.6</v>
      </c>
      <c r="I40" s="5">
        <f t="shared" si="4"/>
        <v>1010977.8</v>
      </c>
      <c r="J40" s="5">
        <f t="shared" si="5"/>
        <v>1458753.4</v>
      </c>
    </row>
    <row r="41" spans="1:10" ht="12.75">
      <c r="A41" s="11">
        <v>1656</v>
      </c>
      <c r="B41" s="11">
        <v>1660</v>
      </c>
      <c r="C41" s="2">
        <v>606524</v>
      </c>
      <c r="D41" s="12">
        <f t="shared" si="0"/>
        <v>0.18045318585451764</v>
      </c>
      <c r="E41" s="2">
        <v>2754591.5</v>
      </c>
      <c r="F41" s="12">
        <f t="shared" si="1"/>
        <v>0.8195468141454824</v>
      </c>
      <c r="G41" s="2">
        <f t="shared" si="2"/>
        <v>3361115.5</v>
      </c>
      <c r="H41" s="5">
        <f t="shared" si="3"/>
        <v>121304.8</v>
      </c>
      <c r="I41" s="5">
        <f t="shared" si="4"/>
        <v>550918.3</v>
      </c>
      <c r="J41" s="5">
        <f t="shared" si="5"/>
        <v>672223.1</v>
      </c>
    </row>
    <row r="43" spans="3:10" ht="12.75">
      <c r="C43" s="2">
        <f>SUM(C10:C42)</f>
        <v>117386086.5</v>
      </c>
      <c r="D43" s="12">
        <f>C43/G43</f>
        <v>0.26212728801466967</v>
      </c>
      <c r="E43" s="2">
        <f>SUM(E10:E42)</f>
        <v>330434845.8</v>
      </c>
      <c r="F43" s="12">
        <f>E43/G43</f>
        <v>0.7378727119853303</v>
      </c>
      <c r="G43" s="2">
        <f>SUM(G10:G42)</f>
        <v>447820932.3</v>
      </c>
      <c r="H43" s="5">
        <f>C43/5</f>
        <v>23477217.3</v>
      </c>
      <c r="I43" s="5">
        <f>E43/5</f>
        <v>66086969.160000004</v>
      </c>
      <c r="J43" s="5">
        <f>G43/5</f>
        <v>89564186.46000001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5"/>
  </sheetPr>
  <dimension ref="A1:M91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3" width="14.57421875" style="0" customWidth="1"/>
    <col min="4" max="4" width="8.57421875" style="0" customWidth="1"/>
    <col min="5" max="5" width="17.140625" style="0" customWidth="1"/>
    <col min="6" max="6" width="8.57421875" style="0" customWidth="1"/>
    <col min="7" max="7" width="14.57421875" style="1" customWidth="1"/>
    <col min="8" max="8" width="9.8515625" style="12" customWidth="1"/>
    <col min="9" max="9" width="16.7109375" style="15" customWidth="1"/>
    <col min="10" max="10" width="14.140625" style="15" customWidth="1"/>
    <col min="11" max="11" width="13.00390625" style="5" customWidth="1"/>
    <col min="12" max="12" width="10.28125" style="5" customWidth="1"/>
    <col min="13" max="13" width="8.421875" style="5" customWidth="1"/>
  </cols>
  <sheetData>
    <row r="1" spans="4:7" ht="12.75">
      <c r="D1" s="11" t="s">
        <v>288</v>
      </c>
      <c r="E1" s="2"/>
      <c r="F1" s="12"/>
      <c r="G1" s="3"/>
    </row>
    <row r="2" spans="1:7" ht="12.75">
      <c r="A2" s="11"/>
      <c r="B2" s="11"/>
      <c r="C2" s="2" t="s">
        <v>343</v>
      </c>
      <c r="D2" s="12"/>
      <c r="E2" s="2"/>
      <c r="F2" s="12"/>
      <c r="G2" s="3"/>
    </row>
    <row r="3" spans="1:7" ht="12.75">
      <c r="A3" s="11"/>
      <c r="B3" s="11"/>
      <c r="C3" s="2"/>
      <c r="D3" s="12"/>
      <c r="E3" s="2"/>
      <c r="F3" s="12"/>
      <c r="G3" s="3"/>
    </row>
    <row r="4" spans="1:13" ht="12.75">
      <c r="A4" s="11"/>
      <c r="B4" s="11"/>
      <c r="C4" s="2"/>
      <c r="D4" s="12"/>
      <c r="E4" s="2"/>
      <c r="F4" s="12"/>
      <c r="G4" s="3"/>
      <c r="K4" s="4" t="s">
        <v>427</v>
      </c>
      <c r="L4" s="4" t="s">
        <v>427</v>
      </c>
      <c r="M4" s="4" t="s">
        <v>427</v>
      </c>
    </row>
    <row r="5" spans="1:13" ht="12.75">
      <c r="A5" s="11" t="s">
        <v>575</v>
      </c>
      <c r="B5" s="11" t="s">
        <v>575</v>
      </c>
      <c r="C5" s="3" t="s">
        <v>495</v>
      </c>
      <c r="D5" s="14" t="s">
        <v>471</v>
      </c>
      <c r="E5" s="3" t="s">
        <v>491</v>
      </c>
      <c r="F5" s="14" t="s">
        <v>471</v>
      </c>
      <c r="G5" s="3" t="s">
        <v>561</v>
      </c>
      <c r="H5" s="14" t="s">
        <v>471</v>
      </c>
      <c r="I5" s="16" t="s">
        <v>515</v>
      </c>
      <c r="J5" s="16" t="s">
        <v>311</v>
      </c>
      <c r="K5" s="4" t="s">
        <v>552</v>
      </c>
      <c r="L5" s="4" t="s">
        <v>515</v>
      </c>
      <c r="M5" s="4" t="s">
        <v>311</v>
      </c>
    </row>
    <row r="6" spans="1:13" ht="12.75">
      <c r="A6" s="11" t="s">
        <v>242</v>
      </c>
      <c r="B6" s="11" t="s">
        <v>276</v>
      </c>
      <c r="C6" s="3" t="s">
        <v>200</v>
      </c>
      <c r="D6" s="14"/>
      <c r="E6" s="3" t="s">
        <v>200</v>
      </c>
      <c r="F6" s="14"/>
      <c r="G6" s="1" t="s">
        <v>341</v>
      </c>
      <c r="H6" s="14" t="s">
        <v>247</v>
      </c>
      <c r="I6" s="16" t="s">
        <v>384</v>
      </c>
      <c r="J6" s="16" t="s">
        <v>384</v>
      </c>
      <c r="K6" s="4" t="s">
        <v>570</v>
      </c>
      <c r="L6" s="4" t="s">
        <v>384</v>
      </c>
      <c r="M6" s="4" t="s">
        <v>384</v>
      </c>
    </row>
    <row r="7" spans="1:9" ht="12.75">
      <c r="A7" s="11"/>
      <c r="B7" s="11"/>
      <c r="C7" s="2"/>
      <c r="D7" s="12"/>
      <c r="E7" s="2"/>
      <c r="F7" s="12"/>
      <c r="G7" s="3" t="s">
        <v>200</v>
      </c>
      <c r="I7" s="16" t="s">
        <v>199</v>
      </c>
    </row>
    <row r="8" spans="1:7" ht="12.75">
      <c r="A8" s="11"/>
      <c r="B8" s="11"/>
      <c r="C8" s="2"/>
      <c r="D8" s="12"/>
      <c r="E8" s="2"/>
      <c r="F8" s="12"/>
      <c r="G8" s="3"/>
    </row>
    <row r="9" spans="1:13" ht="12.75">
      <c r="A9" s="11">
        <v>1503</v>
      </c>
      <c r="B9" s="11">
        <v>1505</v>
      </c>
      <c r="C9" s="2">
        <v>97216.5</v>
      </c>
      <c r="D9" s="12">
        <f>C9/G9</f>
        <v>0.26200003072318334</v>
      </c>
      <c r="E9" s="2">
        <v>273838.8</v>
      </c>
      <c r="F9" s="12">
        <f>E9/G9</f>
        <v>0.7379999692768167</v>
      </c>
      <c r="G9" s="3">
        <f>C9+E9</f>
        <v>371055.3</v>
      </c>
      <c r="H9" s="12">
        <f>G9/G12</f>
        <v>0.3125224144561598</v>
      </c>
      <c r="J9" s="15">
        <f>H9*J12</f>
        <v>1551.7300418094355</v>
      </c>
      <c r="K9" s="5">
        <f>G9/3</f>
        <v>123685.09999999999</v>
      </c>
      <c r="M9" s="5">
        <f>J9/3</f>
        <v>517.2433472698118</v>
      </c>
    </row>
    <row r="10" spans="1:13" ht="12.75">
      <c r="A10" s="11">
        <v>1506</v>
      </c>
      <c r="B10" s="11">
        <v>1510</v>
      </c>
      <c r="C10" s="2">
        <v>213854</v>
      </c>
      <c r="D10" s="12">
        <f>C10/G10</f>
        <v>0.2620000453299993</v>
      </c>
      <c r="E10" s="2">
        <v>602382.5</v>
      </c>
      <c r="F10" s="12">
        <f>E10/G10</f>
        <v>0.7379999546700007</v>
      </c>
      <c r="G10" s="3">
        <f>C10+E10</f>
        <v>816236.5</v>
      </c>
      <c r="H10" s="12">
        <f>G10/G12</f>
        <v>0.6874775855438402</v>
      </c>
      <c r="J10" s="15">
        <f>H10*J12</f>
        <v>3413.4499581905648</v>
      </c>
      <c r="K10" s="5">
        <f>G10/5</f>
        <v>163247.3</v>
      </c>
      <c r="M10" s="5">
        <f>J10/5</f>
        <v>682.6899916381129</v>
      </c>
    </row>
    <row r="11" spans="1:7" ht="12.75">
      <c r="A11" s="11"/>
      <c r="B11" s="11"/>
      <c r="C11" s="2"/>
      <c r="D11" s="12"/>
      <c r="E11" s="2"/>
      <c r="F11" s="12"/>
      <c r="G11" s="3"/>
    </row>
    <row r="12" spans="1:13" ht="12.75">
      <c r="A12" s="11">
        <v>1503</v>
      </c>
      <c r="B12" s="11">
        <v>1510</v>
      </c>
      <c r="C12" s="2"/>
      <c r="D12" s="12"/>
      <c r="E12" s="2"/>
      <c r="F12" s="12"/>
      <c r="G12" s="3">
        <f>SUM(G9:G11)</f>
        <v>1187291.8</v>
      </c>
      <c r="H12" s="12">
        <f>SUM(H9:H11)</f>
        <v>1</v>
      </c>
      <c r="J12" s="15">
        <v>4965.18</v>
      </c>
      <c r="K12" s="5">
        <f>G12/8</f>
        <v>148411.475</v>
      </c>
      <c r="M12" s="5">
        <f>J12/8</f>
        <v>620.6475</v>
      </c>
    </row>
    <row r="13" spans="1:7" ht="12.75">
      <c r="A13" s="11"/>
      <c r="B13" s="11"/>
      <c r="C13" s="2"/>
      <c r="D13" s="12"/>
      <c r="E13" s="2"/>
      <c r="F13" s="12"/>
      <c r="G13" s="3"/>
    </row>
    <row r="14" spans="1:13" ht="12.75">
      <c r="A14" s="11">
        <v>1511</v>
      </c>
      <c r="B14" s="11">
        <v>1515</v>
      </c>
      <c r="C14" s="2">
        <v>313235</v>
      </c>
      <c r="D14" s="12">
        <f>C14/G14</f>
        <v>0.2619999857806447</v>
      </c>
      <c r="E14" s="2">
        <v>882318.5</v>
      </c>
      <c r="F14" s="12">
        <f>E14/G14</f>
        <v>0.7380000142193553</v>
      </c>
      <c r="G14" s="3">
        <f>C14+E14</f>
        <v>1195553.5</v>
      </c>
      <c r="H14" s="12">
        <f>G14/G17</f>
        <v>0.5462266133637921</v>
      </c>
      <c r="J14" s="15">
        <f>H14*J17</f>
        <v>4999.732361973729</v>
      </c>
      <c r="K14" s="5">
        <f>G14/5</f>
        <v>239110.7</v>
      </c>
      <c r="M14" s="5">
        <f>J14/5</f>
        <v>999.9464723947458</v>
      </c>
    </row>
    <row r="15" spans="1:13" ht="12.75">
      <c r="A15" s="11">
        <v>1516</v>
      </c>
      <c r="B15" s="11">
        <v>1520</v>
      </c>
      <c r="C15" s="2">
        <v>260217.5</v>
      </c>
      <c r="D15" s="12">
        <f>C15/G15</f>
        <v>0.26200001711645177</v>
      </c>
      <c r="E15" s="2">
        <v>732979</v>
      </c>
      <c r="F15" s="12">
        <f>E15/G15</f>
        <v>0.7379999828835482</v>
      </c>
      <c r="G15" s="3">
        <f>C15+E15</f>
        <v>993196.5</v>
      </c>
      <c r="H15" s="12">
        <f>G15/G17</f>
        <v>0.45377338663620786</v>
      </c>
      <c r="J15" s="15">
        <f>H15*J17</f>
        <v>4153.48763802627</v>
      </c>
      <c r="K15" s="5">
        <f>G15/5</f>
        <v>198639.3</v>
      </c>
      <c r="M15" s="5">
        <f>J15/5</f>
        <v>830.6975276052541</v>
      </c>
    </row>
    <row r="16" spans="1:7" ht="12.75">
      <c r="A16" s="11"/>
      <c r="B16" s="11"/>
      <c r="C16" s="2"/>
      <c r="D16" s="12"/>
      <c r="E16" s="2"/>
      <c r="F16" s="12"/>
      <c r="G16" s="3"/>
    </row>
    <row r="17" spans="1:13" ht="12.75">
      <c r="A17" s="11">
        <v>1511</v>
      </c>
      <c r="B17" s="11">
        <v>1520</v>
      </c>
      <c r="C17" s="2"/>
      <c r="D17" s="12"/>
      <c r="E17" s="2"/>
      <c r="F17" s="12"/>
      <c r="G17" s="3">
        <f>SUM(G14:G16)</f>
        <v>2188750</v>
      </c>
      <c r="H17" s="12">
        <f>SUM(H14:H16)</f>
        <v>1</v>
      </c>
      <c r="J17" s="15">
        <v>9153.22</v>
      </c>
      <c r="K17" s="5">
        <f>SUM(K14:K16)/2</f>
        <v>218875</v>
      </c>
      <c r="M17" s="5">
        <f>SUM(M14:M16)/2</f>
        <v>915.3219999999999</v>
      </c>
    </row>
    <row r="18" spans="1:7" ht="12.75">
      <c r="A18" s="11"/>
      <c r="B18" s="11"/>
      <c r="C18" s="2"/>
      <c r="D18" s="12"/>
      <c r="E18" s="2"/>
      <c r="F18" s="12"/>
      <c r="G18" s="3"/>
    </row>
    <row r="19" spans="1:13" ht="12.75">
      <c r="A19" s="11">
        <v>1521</v>
      </c>
      <c r="B19" s="11">
        <v>1525</v>
      </c>
      <c r="C19" s="2">
        <v>35152.5</v>
      </c>
      <c r="D19" s="12">
        <f>C19/G19</f>
        <v>0.261999701870761</v>
      </c>
      <c r="E19" s="2">
        <v>99017.5</v>
      </c>
      <c r="F19" s="12">
        <f>E19/G19</f>
        <v>0.7380002981292391</v>
      </c>
      <c r="G19" s="3">
        <f>C19+E19</f>
        <v>134170</v>
      </c>
      <c r="H19" s="12">
        <f>G19/G22</f>
        <v>0.1144202618609645</v>
      </c>
      <c r="I19" s="15">
        <f>H19*I22</f>
        <v>17.018755328938</v>
      </c>
      <c r="J19" s="15">
        <f>H19*J22</f>
        <v>559.4063812513485</v>
      </c>
      <c r="K19" s="5">
        <f>G19/5</f>
        <v>26834</v>
      </c>
      <c r="L19" s="5">
        <f>I19/5</f>
        <v>3.4037510657876</v>
      </c>
      <c r="M19" s="5">
        <f>J19/5</f>
        <v>111.8812762502697</v>
      </c>
    </row>
    <row r="20" spans="1:13" ht="12.75">
      <c r="A20" s="11">
        <v>1526</v>
      </c>
      <c r="B20" s="11">
        <v>1530</v>
      </c>
      <c r="C20" s="2">
        <v>272070.5</v>
      </c>
      <c r="D20" s="12">
        <f>C20/G20</f>
        <v>0.2620000057779143</v>
      </c>
      <c r="E20" s="2">
        <v>766366.5</v>
      </c>
      <c r="F20" s="12">
        <f>E20/G20</f>
        <v>0.7379999942220857</v>
      </c>
      <c r="G20" s="3">
        <f>C20+E20</f>
        <v>1038437</v>
      </c>
      <c r="H20" s="12">
        <f>G20/G22</f>
        <v>0.8855797381390355</v>
      </c>
      <c r="I20" s="15">
        <f>H20*I22</f>
        <v>131.720244671062</v>
      </c>
      <c r="J20" s="15">
        <f>H20*J22</f>
        <v>4329.6436187486515</v>
      </c>
      <c r="K20" s="5">
        <f>G20/5</f>
        <v>207687.4</v>
      </c>
      <c r="L20" s="5">
        <f>I20/5</f>
        <v>26.344048934212402</v>
      </c>
      <c r="M20" s="5">
        <f>J20/5</f>
        <v>865.9287237497304</v>
      </c>
    </row>
    <row r="21" spans="1:7" ht="12.75">
      <c r="A21" s="11"/>
      <c r="B21" s="11"/>
      <c r="C21" s="2"/>
      <c r="D21" s="12"/>
      <c r="E21" s="2"/>
      <c r="F21" s="12"/>
      <c r="G21" s="3"/>
    </row>
    <row r="22" spans="1:13" ht="12.75">
      <c r="A22" s="11">
        <v>1521</v>
      </c>
      <c r="B22" s="11">
        <v>1530</v>
      </c>
      <c r="C22" s="2"/>
      <c r="D22" s="12"/>
      <c r="E22" s="2"/>
      <c r="F22" s="12"/>
      <c r="G22" s="3">
        <f>SUM(G19:G21)</f>
        <v>1172607</v>
      </c>
      <c r="H22" s="12">
        <f>SUM(H19:H21)</f>
        <v>1</v>
      </c>
      <c r="I22" s="15">
        <v>148.739</v>
      </c>
      <c r="J22" s="15">
        <v>4889.05</v>
      </c>
      <c r="K22" s="5">
        <f>SUM(K19:K21)/2</f>
        <v>117260.7</v>
      </c>
      <c r="L22" s="5">
        <f>SUM(L19:L21)/2</f>
        <v>14.8739</v>
      </c>
      <c r="M22" s="5">
        <f>SUM(M19:M21)/2</f>
        <v>488.90500000000003</v>
      </c>
    </row>
    <row r="23" spans="1:7" ht="12.75">
      <c r="A23" s="11"/>
      <c r="B23" s="11"/>
      <c r="C23" s="2"/>
      <c r="D23" s="12"/>
      <c r="E23" s="2"/>
      <c r="F23" s="12"/>
      <c r="G23" s="3"/>
    </row>
    <row r="24" spans="1:13" ht="12.75">
      <c r="A24" s="11">
        <v>1531</v>
      </c>
      <c r="B24" s="11">
        <v>1535</v>
      </c>
      <c r="C24" s="2">
        <v>432360.5</v>
      </c>
      <c r="D24" s="12">
        <f>C24/G24</f>
        <v>0.2619999866685331</v>
      </c>
      <c r="E24" s="2">
        <v>1217870.5</v>
      </c>
      <c r="F24" s="12">
        <f>E24/G24</f>
        <v>0.7380000133314669</v>
      </c>
      <c r="G24" s="3">
        <f>C24+E24</f>
        <v>1650231</v>
      </c>
      <c r="H24" s="12">
        <f>G24/G27</f>
        <v>0.295310428922198</v>
      </c>
      <c r="I24" s="15">
        <f>H24*I27</f>
        <v>25453.95049202675</v>
      </c>
      <c r="J24" s="15">
        <f>H24*J27</f>
        <v>4272.066976542928</v>
      </c>
      <c r="K24" s="5">
        <f>G24/5</f>
        <v>330046.2</v>
      </c>
      <c r="L24" s="5">
        <f>I24/5</f>
        <v>5090.79009840535</v>
      </c>
      <c r="M24" s="5">
        <f>J24/5</f>
        <v>854.4133953085857</v>
      </c>
    </row>
    <row r="25" spans="1:13" ht="12.75">
      <c r="A25" s="11">
        <v>1536</v>
      </c>
      <c r="B25" s="11">
        <v>1540</v>
      </c>
      <c r="C25" s="2">
        <v>1350885</v>
      </c>
      <c r="D25" s="12">
        <f>C25/G25</f>
        <v>0.34304775245232727</v>
      </c>
      <c r="E25" s="2">
        <v>2587007</v>
      </c>
      <c r="F25" s="12">
        <f>E25/G25</f>
        <v>0.6569522475476727</v>
      </c>
      <c r="G25" s="3">
        <f>C25+E25</f>
        <v>3937892</v>
      </c>
      <c r="H25" s="12">
        <f>G25/G27</f>
        <v>0.704689571077802</v>
      </c>
      <c r="I25" s="15">
        <f>H25*I27</f>
        <v>60739.92550797325</v>
      </c>
      <c r="J25" s="15">
        <f>H25*J27</f>
        <v>10194.293023457072</v>
      </c>
      <c r="K25" s="5">
        <f>G25/5</f>
        <v>787578.4</v>
      </c>
      <c r="L25" s="5">
        <f>I25/5</f>
        <v>12147.98510159465</v>
      </c>
      <c r="M25" s="5">
        <f>J25/5</f>
        <v>2038.8586046914145</v>
      </c>
    </row>
    <row r="26" spans="1:7" ht="12.75">
      <c r="A26" s="11"/>
      <c r="B26" s="11"/>
      <c r="C26" s="2"/>
      <c r="D26" s="12"/>
      <c r="E26" s="2"/>
      <c r="F26" s="12"/>
      <c r="G26" s="3"/>
    </row>
    <row r="27" spans="1:13" ht="12.75">
      <c r="A27" s="11">
        <v>1531</v>
      </c>
      <c r="B27" s="11">
        <v>1540</v>
      </c>
      <c r="C27" s="2"/>
      <c r="D27" s="12"/>
      <c r="E27" s="2"/>
      <c r="F27" s="12"/>
      <c r="G27" s="3">
        <f>SUM(G24:G26)</f>
        <v>5588123</v>
      </c>
      <c r="H27" s="12">
        <f>SUM(H24:H26)</f>
        <v>1</v>
      </c>
      <c r="I27" s="15">
        <v>86193.876</v>
      </c>
      <c r="J27" s="15">
        <v>14466.36</v>
      </c>
      <c r="K27" s="5">
        <f>SUM(K24:K26)/2</f>
        <v>558812.3</v>
      </c>
      <c r="L27" s="5">
        <f>SUM(L24:L26)/2</f>
        <v>8619.3876</v>
      </c>
      <c r="M27" s="5">
        <f>SUM(M24:M26)/2</f>
        <v>1446.636</v>
      </c>
    </row>
    <row r="28" spans="1:7" ht="12.75">
      <c r="A28" s="11"/>
      <c r="B28" s="11"/>
      <c r="C28" s="2"/>
      <c r="D28" s="12"/>
      <c r="E28" s="2"/>
      <c r="F28" s="12"/>
      <c r="G28" s="3"/>
    </row>
    <row r="29" spans="1:13" ht="12.75">
      <c r="A29" s="11">
        <v>1541</v>
      </c>
      <c r="B29" s="11">
        <v>1545</v>
      </c>
      <c r="C29" s="2">
        <v>757788.5</v>
      </c>
      <c r="D29" s="12">
        <f>C29/G29</f>
        <v>0.15296482341055367</v>
      </c>
      <c r="E29" s="2">
        <v>4196216.5</v>
      </c>
      <c r="F29" s="12">
        <f>E29/G29</f>
        <v>0.8470351765894463</v>
      </c>
      <c r="G29" s="3">
        <f>C29+E29</f>
        <v>4954005</v>
      </c>
      <c r="H29" s="12">
        <f>G29/G32</f>
        <v>0.47349129996455985</v>
      </c>
      <c r="I29" s="15">
        <f>H29*I32</f>
        <v>84079.34826117997</v>
      </c>
      <c r="J29" s="15">
        <f>H29*J32</f>
        <v>11816.983927084517</v>
      </c>
      <c r="K29" s="5">
        <f>G29/5</f>
        <v>990801</v>
      </c>
      <c r="L29" s="5">
        <f>I29/5</f>
        <v>16815.869652235993</v>
      </c>
      <c r="M29" s="5">
        <f>J29/5</f>
        <v>2363.396785416903</v>
      </c>
    </row>
    <row r="30" spans="1:13" ht="12.75">
      <c r="A30" s="11">
        <v>1546</v>
      </c>
      <c r="B30" s="11">
        <v>1550</v>
      </c>
      <c r="C30" s="2">
        <v>1592671.5</v>
      </c>
      <c r="D30" s="12">
        <f>C30/G30</f>
        <v>0.2891187248704824</v>
      </c>
      <c r="E30" s="2">
        <v>3916039.5</v>
      </c>
      <c r="F30" s="12">
        <f>E30/G30</f>
        <v>0.7108812751295176</v>
      </c>
      <c r="G30" s="3">
        <f>C30+E30</f>
        <v>5508711</v>
      </c>
      <c r="H30" s="12">
        <f>G30/G32</f>
        <v>0.5265087000354401</v>
      </c>
      <c r="I30" s="15">
        <f>H30*I32</f>
        <v>93493.81573882002</v>
      </c>
      <c r="J30" s="15">
        <f>H30*J32</f>
        <v>13140.146072915484</v>
      </c>
      <c r="K30" s="5">
        <f>G30/5</f>
        <v>1101742.2</v>
      </c>
      <c r="L30" s="5">
        <f>I30/5</f>
        <v>18698.763147764002</v>
      </c>
      <c r="M30" s="5">
        <f>J30/5</f>
        <v>2628.0292145830967</v>
      </c>
    </row>
    <row r="31" spans="1:7" ht="12.75">
      <c r="A31" s="11"/>
      <c r="B31" s="11"/>
      <c r="C31" s="2"/>
      <c r="D31" s="12"/>
      <c r="E31" s="2"/>
      <c r="F31" s="12"/>
      <c r="G31" s="3"/>
    </row>
    <row r="32" spans="1:13" ht="12.75">
      <c r="A32" s="11">
        <v>1541</v>
      </c>
      <c r="B32" s="11">
        <v>1550</v>
      </c>
      <c r="C32" s="2"/>
      <c r="D32" s="12"/>
      <c r="E32" s="2"/>
      <c r="F32" s="12"/>
      <c r="G32" s="3">
        <f>SUM(G29:G31)</f>
        <v>10462716</v>
      </c>
      <c r="H32" s="12">
        <f>SUM(H29:H31)</f>
        <v>1</v>
      </c>
      <c r="I32" s="15">
        <v>177573.164</v>
      </c>
      <c r="J32" s="15">
        <v>24957.13</v>
      </c>
      <c r="K32" s="5">
        <f>SUM(K29:K31)/2</f>
        <v>1046271.6</v>
      </c>
      <c r="L32" s="5">
        <f>SUM(L29:L31)/2</f>
        <v>17757.316399999996</v>
      </c>
      <c r="M32" s="5">
        <f>SUM(M29:M31)/2</f>
        <v>2495.7129999999997</v>
      </c>
    </row>
    <row r="33" spans="1:7" ht="12.75">
      <c r="A33" s="11"/>
      <c r="B33" s="11"/>
      <c r="C33" s="2"/>
      <c r="D33" s="12"/>
      <c r="E33" s="2"/>
      <c r="F33" s="12"/>
      <c r="G33" s="3"/>
    </row>
    <row r="34" spans="1:13" ht="12.75">
      <c r="A34" s="11">
        <v>1551</v>
      </c>
      <c r="B34" s="11">
        <v>1555</v>
      </c>
      <c r="C34" s="2">
        <v>3628506.5</v>
      </c>
      <c r="D34" s="12">
        <f>C34/G34</f>
        <v>0.3677963710214889</v>
      </c>
      <c r="E34" s="2">
        <v>6237024.5</v>
      </c>
      <c r="F34" s="12">
        <f>E34/G34</f>
        <v>0.6322036289785111</v>
      </c>
      <c r="G34" s="3">
        <f>C34+E34</f>
        <v>9865531</v>
      </c>
      <c r="H34" s="12">
        <f>G34/G37</f>
        <v>0.5522413002816559</v>
      </c>
      <c r="I34" s="15">
        <f>H34*I37</f>
        <v>167396.03127266205</v>
      </c>
      <c r="J34" s="15">
        <f>H34*J37</f>
        <v>23536.568397308198</v>
      </c>
      <c r="K34" s="5">
        <f>G34/5</f>
        <v>1973106.2</v>
      </c>
      <c r="L34" s="5">
        <f>I34/5</f>
        <v>33479.20625453241</v>
      </c>
      <c r="M34" s="5">
        <f>J34/5</f>
        <v>4707.313679461639</v>
      </c>
    </row>
    <row r="35" spans="1:13" ht="12.75">
      <c r="A35" s="11">
        <v>1556</v>
      </c>
      <c r="B35" s="11">
        <v>1560</v>
      </c>
      <c r="C35" s="2">
        <v>1568495.5</v>
      </c>
      <c r="D35" s="12">
        <f>C35/G35</f>
        <v>0.19608648507685056</v>
      </c>
      <c r="E35" s="2">
        <v>6430503</v>
      </c>
      <c r="F35" s="12">
        <f>E35/G35</f>
        <v>0.8039135149231494</v>
      </c>
      <c r="G35" s="3">
        <f>C35+E35</f>
        <v>7998998.5</v>
      </c>
      <c r="H35" s="12">
        <f>G35/G37</f>
        <v>0.4477586997183441</v>
      </c>
      <c r="I35" s="15">
        <f>H35*I37</f>
        <v>135725.14272733792</v>
      </c>
      <c r="J35" s="15">
        <f>H35*J37</f>
        <v>19083.511602691804</v>
      </c>
      <c r="K35" s="5">
        <f>G35/5</f>
        <v>1599799.7</v>
      </c>
      <c r="L35" s="5">
        <f>I35/5</f>
        <v>27145.028545467583</v>
      </c>
      <c r="M35" s="5">
        <f>J35/5</f>
        <v>3816.7023205383607</v>
      </c>
    </row>
    <row r="36" spans="1:7" ht="12.75">
      <c r="A36" s="11"/>
      <c r="B36" s="11"/>
      <c r="C36" s="2"/>
      <c r="D36" s="12"/>
      <c r="E36" s="2"/>
      <c r="F36" s="12"/>
      <c r="G36" s="3"/>
    </row>
    <row r="37" spans="1:13" ht="12.75">
      <c r="A37" s="11">
        <v>1551</v>
      </c>
      <c r="B37" s="11">
        <v>1560</v>
      </c>
      <c r="C37" s="2"/>
      <c r="D37" s="12"/>
      <c r="E37" s="2"/>
      <c r="F37" s="12"/>
      <c r="G37" s="3">
        <f>SUM(G34:G36)</f>
        <v>17864529.5</v>
      </c>
      <c r="H37" s="12">
        <f>SUM(H34:H36)</f>
        <v>1</v>
      </c>
      <c r="I37" s="15">
        <v>303121.174</v>
      </c>
      <c r="J37" s="15">
        <v>42620.08</v>
      </c>
      <c r="K37" s="5">
        <f>SUM(K34:K36)/2</f>
        <v>1786452.95</v>
      </c>
      <c r="L37" s="5">
        <f>SUM(L34:L36)/2</f>
        <v>30312.117399999996</v>
      </c>
      <c r="M37" s="5">
        <f>SUM(M34:M36)/2</f>
        <v>4262.008</v>
      </c>
    </row>
    <row r="38" spans="1:7" ht="12.75">
      <c r="A38" s="11"/>
      <c r="B38" s="11"/>
      <c r="C38" s="2"/>
      <c r="D38" s="12"/>
      <c r="E38" s="2"/>
      <c r="F38" s="12"/>
      <c r="G38" s="3"/>
    </row>
    <row r="39" spans="1:13" ht="12.75">
      <c r="A39" s="11">
        <v>1561</v>
      </c>
      <c r="B39" s="11">
        <v>1565</v>
      </c>
      <c r="C39" s="2">
        <v>1819533</v>
      </c>
      <c r="D39" s="12">
        <f>C39/G39</f>
        <v>0.1623490730856931</v>
      </c>
      <c r="E39" s="2">
        <v>9388002.5</v>
      </c>
      <c r="F39" s="12">
        <f>E39/G39</f>
        <v>0.8376509269143069</v>
      </c>
      <c r="G39" s="3">
        <f>C39+E39</f>
        <v>11207535.5</v>
      </c>
      <c r="H39" s="12">
        <f>G39/G42</f>
        <v>0.44213363806366635</v>
      </c>
      <c r="I39" s="15">
        <f>H39*I42</f>
        <v>416869.5878872737</v>
      </c>
      <c r="J39" s="15">
        <f>H39*J42</f>
        <v>5098.2164524938535</v>
      </c>
      <c r="K39" s="5">
        <f>G39/5</f>
        <v>2241507.1</v>
      </c>
      <c r="L39" s="5">
        <f>I39/5</f>
        <v>83373.91757745473</v>
      </c>
      <c r="M39" s="5">
        <f>J39/5</f>
        <v>1019.6432904987707</v>
      </c>
    </row>
    <row r="40" spans="1:13" ht="12.75">
      <c r="A40" s="11">
        <v>1566</v>
      </c>
      <c r="B40" s="11">
        <v>1570</v>
      </c>
      <c r="C40" s="2">
        <v>3784743</v>
      </c>
      <c r="D40" s="12">
        <f>C40/G40</f>
        <v>0.2676391573270346</v>
      </c>
      <c r="E40" s="2">
        <v>10356472.5</v>
      </c>
      <c r="F40" s="12">
        <f>E40/G40</f>
        <v>0.7323608426729654</v>
      </c>
      <c r="G40" s="3">
        <f>C40+E40</f>
        <v>14141215.5</v>
      </c>
      <c r="H40" s="12">
        <f>G40/G42</f>
        <v>0.5578663619363337</v>
      </c>
      <c r="I40" s="15">
        <f>H40*I42</f>
        <v>525989.2041127264</v>
      </c>
      <c r="J40" s="15">
        <f>H40*J42</f>
        <v>6432.723547506147</v>
      </c>
      <c r="K40" s="5">
        <f>G40/5</f>
        <v>2828243.1</v>
      </c>
      <c r="L40" s="5">
        <f>I40/5</f>
        <v>105197.84082254527</v>
      </c>
      <c r="M40" s="5">
        <f>J40/5</f>
        <v>1286.5447095012294</v>
      </c>
    </row>
    <row r="41" spans="1:7" ht="12.75">
      <c r="A41" s="11"/>
      <c r="B41" s="11"/>
      <c r="C41" s="2"/>
      <c r="D41" s="12"/>
      <c r="E41" s="2"/>
      <c r="F41" s="12"/>
      <c r="G41" s="3"/>
    </row>
    <row r="42" spans="1:13" ht="12.75">
      <c r="A42" s="11">
        <v>1561</v>
      </c>
      <c r="B42" s="11">
        <v>1570</v>
      </c>
      <c r="C42" s="2"/>
      <c r="D42" s="12"/>
      <c r="E42" s="2"/>
      <c r="F42" s="12"/>
      <c r="G42" s="3">
        <f>SUM(G39:G41)</f>
        <v>25348751</v>
      </c>
      <c r="H42" s="12">
        <f>SUM(H39:H41)</f>
        <v>1</v>
      </c>
      <c r="I42" s="15">
        <v>942858.792</v>
      </c>
      <c r="J42" s="15">
        <v>11530.94</v>
      </c>
      <c r="K42" s="5">
        <f>SUM(K39:K41)/2</f>
        <v>2534875.1</v>
      </c>
      <c r="L42" s="5">
        <f>SUM(L39:L41)/2</f>
        <v>94285.8792</v>
      </c>
      <c r="M42" s="5">
        <f>SUM(M39:M41)/2</f>
        <v>1153.094</v>
      </c>
    </row>
    <row r="43" spans="1:7" ht="12.75">
      <c r="A43" s="11"/>
      <c r="B43" s="11"/>
      <c r="C43" s="2"/>
      <c r="D43" s="12"/>
      <c r="E43" s="2"/>
      <c r="F43" s="12"/>
      <c r="G43" s="3"/>
    </row>
    <row r="44" spans="1:13" ht="12.75">
      <c r="A44" s="11">
        <v>1571</v>
      </c>
      <c r="B44" s="11">
        <v>1575</v>
      </c>
      <c r="C44" s="2">
        <v>3298660.5</v>
      </c>
      <c r="D44" s="12">
        <f>C44/G44</f>
        <v>0.2770444968840415</v>
      </c>
      <c r="E44" s="2">
        <v>8607948.5</v>
      </c>
      <c r="F44" s="12">
        <f>E44/G44</f>
        <v>0.7229555031159586</v>
      </c>
      <c r="G44" s="3">
        <f>C44+E44</f>
        <v>11906609</v>
      </c>
      <c r="H44" s="12">
        <f>G44/G47</f>
        <v>0.4083402295381629</v>
      </c>
      <c r="I44" s="15">
        <f>H44*I47</f>
        <v>456766.0952559021</v>
      </c>
      <c r="J44" s="15">
        <f>H44*J47</f>
        <v>3850.297191947473</v>
      </c>
      <c r="K44" s="5">
        <f>G44/5</f>
        <v>2381321.8</v>
      </c>
      <c r="L44" s="5">
        <f>I44/5</f>
        <v>91353.21905118042</v>
      </c>
      <c r="M44" s="5">
        <f>J44/5</f>
        <v>770.0594383894946</v>
      </c>
    </row>
    <row r="45" spans="1:13" ht="12.75">
      <c r="A45" s="11">
        <v>1576</v>
      </c>
      <c r="B45" s="11">
        <v>1580</v>
      </c>
      <c r="C45" s="2">
        <v>6649678.5</v>
      </c>
      <c r="D45" s="12">
        <f>C45/G45</f>
        <v>0.38544523772716355</v>
      </c>
      <c r="E45" s="2">
        <v>10602262.5</v>
      </c>
      <c r="F45" s="12">
        <f>E45/G45</f>
        <v>0.6145547622728365</v>
      </c>
      <c r="G45" s="3">
        <f>C45+E45</f>
        <v>17251941</v>
      </c>
      <c r="H45" s="12">
        <f>G45/G47</f>
        <v>0.591659770461837</v>
      </c>
      <c r="I45" s="15">
        <f>H45*I47</f>
        <v>661825.8587440978</v>
      </c>
      <c r="J45" s="15">
        <f>H45*J47</f>
        <v>5578.8428080525255</v>
      </c>
      <c r="K45" s="5">
        <f>G45/5</f>
        <v>3450388.2</v>
      </c>
      <c r="L45" s="5">
        <f>I45/5</f>
        <v>132365.17174881956</v>
      </c>
      <c r="M45" s="5">
        <f>J45/5</f>
        <v>1115.768561610505</v>
      </c>
    </row>
    <row r="46" spans="1:7" ht="12.75">
      <c r="A46" s="11"/>
      <c r="B46" s="11"/>
      <c r="C46" s="2"/>
      <c r="D46" s="12"/>
      <c r="E46" s="2"/>
      <c r="F46" s="12"/>
      <c r="G46" s="3"/>
    </row>
    <row r="47" spans="1:13" ht="12.75">
      <c r="A47" s="11">
        <v>1571</v>
      </c>
      <c r="B47" s="11">
        <v>1580</v>
      </c>
      <c r="C47" s="2"/>
      <c r="D47" s="12"/>
      <c r="E47" s="2"/>
      <c r="F47" s="12"/>
      <c r="G47" s="3">
        <f>SUM(G44:G46)</f>
        <v>29158550</v>
      </c>
      <c r="H47" s="12">
        <f>SUM(H44:H46)</f>
        <v>1</v>
      </c>
      <c r="I47" s="15">
        <v>1118591.954</v>
      </c>
      <c r="J47" s="15">
        <v>9429.14</v>
      </c>
      <c r="K47" s="5">
        <f>SUM(K44:K46)/2</f>
        <v>2915855</v>
      </c>
      <c r="L47" s="5">
        <f>SUM(L44:L46)/2</f>
        <v>111859.1954</v>
      </c>
      <c r="M47" s="5">
        <f>SUM(M44:M46)/2</f>
        <v>942.9139999999998</v>
      </c>
    </row>
    <row r="48" spans="1:7" ht="12.75">
      <c r="A48" s="11"/>
      <c r="B48" s="11"/>
      <c r="C48" s="2"/>
      <c r="D48" s="12"/>
      <c r="E48" s="2"/>
      <c r="F48" s="12"/>
      <c r="G48" s="3"/>
    </row>
    <row r="49" spans="1:13" ht="12.75">
      <c r="A49" s="11">
        <v>1581</v>
      </c>
      <c r="B49" s="11">
        <v>1585</v>
      </c>
      <c r="C49" s="2">
        <v>7550604</v>
      </c>
      <c r="D49" s="12">
        <f>C49/G49</f>
        <v>0.2570452334825733</v>
      </c>
      <c r="E49" s="2">
        <v>21824008</v>
      </c>
      <c r="F49" s="12">
        <f>E49/G49</f>
        <v>0.7429547665174266</v>
      </c>
      <c r="G49" s="3">
        <f>C49+E49</f>
        <v>29374612</v>
      </c>
      <c r="H49" s="12">
        <f>G49/G52</f>
        <v>0.5520792023755037</v>
      </c>
      <c r="I49" s="15">
        <f>H49*I52</f>
        <v>1161037.8491167186</v>
      </c>
      <c r="J49" s="15">
        <f>H49*J52</f>
        <v>6681.069279427514</v>
      </c>
      <c r="K49" s="5">
        <f>G49/5</f>
        <v>5874922.4</v>
      </c>
      <c r="L49" s="5">
        <f>I49/5</f>
        <v>232207.5698233437</v>
      </c>
      <c r="M49" s="5">
        <f>J49/5</f>
        <v>1336.2138558855027</v>
      </c>
    </row>
    <row r="50" spans="1:13" ht="12.75">
      <c r="A50" s="11">
        <v>1586</v>
      </c>
      <c r="B50" s="11">
        <v>1590</v>
      </c>
      <c r="C50" s="2">
        <v>8043212.5</v>
      </c>
      <c r="D50" s="12">
        <f>C50/G50</f>
        <v>0.33748739989066673</v>
      </c>
      <c r="E50" s="2">
        <v>15789418</v>
      </c>
      <c r="F50" s="12">
        <f>E50/G50</f>
        <v>0.6625126001093333</v>
      </c>
      <c r="G50" s="3">
        <f>C50+E50</f>
        <v>23832630.5</v>
      </c>
      <c r="H50" s="12">
        <f>G50/G52</f>
        <v>0.4479207976244963</v>
      </c>
      <c r="I50" s="15">
        <f>H50*I52</f>
        <v>941989.8398832812</v>
      </c>
      <c r="J50" s="15">
        <f>H50*J52</f>
        <v>5420.580720572486</v>
      </c>
      <c r="K50" s="5">
        <f>G50/5</f>
        <v>4766526.1</v>
      </c>
      <c r="L50" s="5">
        <f>I50/5</f>
        <v>188397.96797665622</v>
      </c>
      <c r="M50" s="5">
        <f>J50/5</f>
        <v>1084.1161441144973</v>
      </c>
    </row>
    <row r="51" spans="1:7" ht="12.75">
      <c r="A51" s="11"/>
      <c r="B51" s="11"/>
      <c r="C51" s="2"/>
      <c r="D51" s="12"/>
      <c r="E51" s="2"/>
      <c r="F51" s="12"/>
      <c r="G51" s="3"/>
    </row>
    <row r="52" spans="1:13" ht="12.75">
      <c r="A52" s="11">
        <v>1581</v>
      </c>
      <c r="B52" s="11">
        <v>1590</v>
      </c>
      <c r="C52" s="2"/>
      <c r="D52" s="12"/>
      <c r="E52" s="2"/>
      <c r="F52" s="12"/>
      <c r="G52" s="3">
        <f>SUM(G49:G51)</f>
        <v>53207242.5</v>
      </c>
      <c r="H52" s="12">
        <f>SUM(H49:H51)</f>
        <v>1</v>
      </c>
      <c r="I52" s="15">
        <v>2103027.689</v>
      </c>
      <c r="J52" s="15">
        <v>12101.65</v>
      </c>
      <c r="K52" s="5">
        <f>SUM(K49:K51)/2</f>
        <v>5320724.25</v>
      </c>
      <c r="L52" s="5">
        <f>SUM(L49:L51)/2</f>
        <v>210302.76889999997</v>
      </c>
      <c r="M52" s="5">
        <f>SUM(M49:M51)/2</f>
        <v>1210.165</v>
      </c>
    </row>
    <row r="53" spans="1:7" ht="12.75">
      <c r="A53" s="11"/>
      <c r="B53" s="11"/>
      <c r="C53" s="2"/>
      <c r="D53" s="12"/>
      <c r="E53" s="2"/>
      <c r="F53" s="12"/>
      <c r="G53" s="3"/>
    </row>
    <row r="54" spans="1:13" ht="12.75">
      <c r="A54" s="11">
        <v>1591</v>
      </c>
      <c r="B54" s="11">
        <v>1595</v>
      </c>
      <c r="C54" s="2">
        <v>10023348.5</v>
      </c>
      <c r="D54" s="12">
        <f>C54/G54</f>
        <v>0.2848767278826228</v>
      </c>
      <c r="E54" s="2">
        <v>25161514</v>
      </c>
      <c r="F54" s="12">
        <f>E54/G54</f>
        <v>0.7151232721173771</v>
      </c>
      <c r="G54" s="3">
        <f>C54+E54</f>
        <v>35184862.5</v>
      </c>
      <c r="H54" s="12">
        <f>G54/G57</f>
        <v>0.5054325920154152</v>
      </c>
      <c r="I54" s="15">
        <f>H54*I57</f>
        <v>1368522.6942567392</v>
      </c>
      <c r="J54" s="15">
        <f>H54*J57</f>
        <v>9831.381628980487</v>
      </c>
      <c r="K54" s="5">
        <f>G54/5</f>
        <v>7036972.5</v>
      </c>
      <c r="L54" s="5">
        <f>I54/5</f>
        <v>273704.53885134787</v>
      </c>
      <c r="M54" s="5">
        <f>J54/5</f>
        <v>1966.2763257960974</v>
      </c>
    </row>
    <row r="55" spans="1:13" ht="12.75">
      <c r="A55" s="11">
        <v>1596</v>
      </c>
      <c r="B55" s="11">
        <v>1600</v>
      </c>
      <c r="C55" s="2">
        <v>10974318</v>
      </c>
      <c r="D55" s="12">
        <f>C55/G55</f>
        <v>0.3187567811732027</v>
      </c>
      <c r="E55" s="2">
        <v>23454182.5</v>
      </c>
      <c r="F55" s="12">
        <f>E55/G55</f>
        <v>0.6812432188267973</v>
      </c>
      <c r="G55" s="3">
        <f>C55+E55</f>
        <v>34428500.5</v>
      </c>
      <c r="H55" s="12">
        <f>G55/G57</f>
        <v>0.4945674079845848</v>
      </c>
      <c r="I55" s="15">
        <f>H55*I57</f>
        <v>1339103.833743261</v>
      </c>
      <c r="J55" s="15">
        <f>H55*J57</f>
        <v>9620.038371019511</v>
      </c>
      <c r="K55" s="5">
        <f>G55/5</f>
        <v>6885700.1</v>
      </c>
      <c r="L55" s="5">
        <f>I55/5</f>
        <v>267820.7667486522</v>
      </c>
      <c r="M55" s="5">
        <f>J55/5</f>
        <v>1924.0076742039023</v>
      </c>
    </row>
    <row r="56" spans="1:7" ht="12.75">
      <c r="A56" s="11"/>
      <c r="B56" s="11"/>
      <c r="C56" s="2"/>
      <c r="D56" s="12"/>
      <c r="E56" s="2"/>
      <c r="F56" s="12"/>
      <c r="G56" s="3"/>
    </row>
    <row r="57" spans="1:13" ht="12.75">
      <c r="A57" s="11">
        <v>1591</v>
      </c>
      <c r="B57" s="11">
        <v>1600</v>
      </c>
      <c r="C57" s="2"/>
      <c r="D57" s="12"/>
      <c r="E57" s="2"/>
      <c r="F57" s="12"/>
      <c r="G57" s="3">
        <f>SUM(G54:G56)</f>
        <v>69613363</v>
      </c>
      <c r="H57" s="12">
        <f>SUM(H54:H56)</f>
        <v>1</v>
      </c>
      <c r="I57" s="15">
        <v>2707626.528</v>
      </c>
      <c r="J57" s="15">
        <v>19451.42</v>
      </c>
      <c r="K57" s="5">
        <f>SUM(K54:K56)/2</f>
        <v>6961336.3</v>
      </c>
      <c r="L57" s="5">
        <f>SUM(L54:L56)/2</f>
        <v>270762.65280000004</v>
      </c>
      <c r="M57" s="5">
        <f>SUM(M54:M56)/2</f>
        <v>1945.1419999999998</v>
      </c>
    </row>
    <row r="58" spans="1:7" ht="12.75">
      <c r="A58" s="11"/>
      <c r="B58" s="11"/>
      <c r="C58" s="2"/>
      <c r="D58" s="12"/>
      <c r="E58" s="2"/>
      <c r="F58" s="12"/>
      <c r="G58" s="3"/>
    </row>
    <row r="59" spans="1:13" ht="12.75">
      <c r="A59" s="11">
        <v>1601</v>
      </c>
      <c r="B59" s="11">
        <v>1605</v>
      </c>
      <c r="C59" s="2">
        <v>6519885.5</v>
      </c>
      <c r="D59" s="12">
        <f>C59/G59</f>
        <v>0.2671719816248013</v>
      </c>
      <c r="E59" s="2">
        <v>17883442.5</v>
      </c>
      <c r="F59" s="12">
        <f>E59/G59</f>
        <v>0.7328280183751986</v>
      </c>
      <c r="G59" s="3">
        <f>C59+E59</f>
        <v>24403328</v>
      </c>
      <c r="H59" s="12">
        <f>G59/G62</f>
        <v>0.43726874392957993</v>
      </c>
      <c r="I59" s="15">
        <f>H59*I62</f>
        <v>967951.7540244223</v>
      </c>
      <c r="J59" s="15">
        <f>H59*J62</f>
        <v>5144.068857774532</v>
      </c>
      <c r="K59" s="5">
        <f>G59/5</f>
        <v>4880665.6</v>
      </c>
      <c r="L59" s="5">
        <f>I59/5</f>
        <v>193590.35080488445</v>
      </c>
      <c r="M59" s="5">
        <f>J59/5</f>
        <v>1028.8137715549065</v>
      </c>
    </row>
    <row r="60" spans="1:13" ht="12.75">
      <c r="A60" s="11">
        <v>1606</v>
      </c>
      <c r="B60" s="11">
        <v>1610</v>
      </c>
      <c r="C60" s="2">
        <v>8549679</v>
      </c>
      <c r="D60" s="12">
        <f>C60/G60</f>
        <v>0.27223762607264457</v>
      </c>
      <c r="E60" s="2">
        <v>22855528</v>
      </c>
      <c r="F60" s="12">
        <f>E60/G60</f>
        <v>0.7277623739273554</v>
      </c>
      <c r="G60" s="3">
        <f>C60+E60</f>
        <v>31405207</v>
      </c>
      <c r="H60" s="12">
        <f>G60/G62</f>
        <v>0.5627312560704201</v>
      </c>
      <c r="I60" s="15">
        <f>H60*I62</f>
        <v>1245679.4909755778</v>
      </c>
      <c r="J60" s="15">
        <f>H60*J62</f>
        <v>6620.021142225468</v>
      </c>
      <c r="K60" s="5">
        <f>G60/5</f>
        <v>6281041.4</v>
      </c>
      <c r="L60" s="5">
        <f>I60/5</f>
        <v>249135.89819511556</v>
      </c>
      <c r="M60" s="5">
        <f>J60/5</f>
        <v>1324.0042284450935</v>
      </c>
    </row>
    <row r="61" spans="1:7" ht="12.75">
      <c r="A61" s="11"/>
      <c r="B61" s="11"/>
      <c r="C61" s="2"/>
      <c r="D61" s="12"/>
      <c r="E61" s="2"/>
      <c r="F61" s="12"/>
      <c r="G61" s="3"/>
    </row>
    <row r="62" spans="1:13" ht="12.75">
      <c r="A62" s="11">
        <v>1601</v>
      </c>
      <c r="B62" s="11">
        <v>1610</v>
      </c>
      <c r="C62" s="2"/>
      <c r="D62" s="12"/>
      <c r="E62" s="2"/>
      <c r="F62" s="12"/>
      <c r="G62" s="3">
        <f>SUM(G59:G61)</f>
        <v>55808535</v>
      </c>
      <c r="H62" s="12">
        <f>SUM(H59:H61)</f>
        <v>1</v>
      </c>
      <c r="I62" s="15">
        <v>2213631.245</v>
      </c>
      <c r="J62" s="15">
        <v>11764.09</v>
      </c>
      <c r="K62" s="5">
        <f>SUM(K59:K61)/2</f>
        <v>5580853.5</v>
      </c>
      <c r="L62" s="5">
        <f>SUM(L59:L61)/2</f>
        <v>221363.1245</v>
      </c>
      <c r="M62" s="5">
        <f>SUM(M59:M61)/2</f>
        <v>1176.409</v>
      </c>
    </row>
    <row r="63" spans="1:7" ht="12.75">
      <c r="A63" s="11"/>
      <c r="B63" s="11"/>
      <c r="C63" s="2"/>
      <c r="D63" s="12"/>
      <c r="E63" s="2"/>
      <c r="F63" s="12"/>
      <c r="G63" s="3"/>
    </row>
    <row r="64" spans="1:13" ht="12.75">
      <c r="A64" s="11">
        <v>1611</v>
      </c>
      <c r="B64" s="11">
        <v>1615</v>
      </c>
      <c r="C64" s="2">
        <v>7212921.5</v>
      </c>
      <c r="D64" s="12">
        <f>C64/G64</f>
        <v>0.29406743578253375</v>
      </c>
      <c r="E64" s="2">
        <v>17315199</v>
      </c>
      <c r="F64" s="12">
        <f>E64/G64</f>
        <v>0.7059325642174662</v>
      </c>
      <c r="G64" s="3">
        <f>C64+E64</f>
        <v>24528120.5</v>
      </c>
      <c r="H64" s="12">
        <f>G64/G67</f>
        <v>0.4488993395668628</v>
      </c>
      <c r="I64" s="15">
        <f>H64*I67</f>
        <v>984102.2674191969</v>
      </c>
      <c r="J64" s="15">
        <f>H64*J67</f>
        <v>3975.425617243763</v>
      </c>
      <c r="K64" s="5">
        <f>G64/5</f>
        <v>4905624.1</v>
      </c>
      <c r="L64" s="5">
        <f>I64/5</f>
        <v>196820.45348383937</v>
      </c>
      <c r="M64" s="5">
        <f>J64/5</f>
        <v>795.0851234487526</v>
      </c>
    </row>
    <row r="65" spans="1:13" ht="12.75">
      <c r="A65" s="11">
        <v>1616</v>
      </c>
      <c r="B65" s="11">
        <v>1620</v>
      </c>
      <c r="C65" s="2">
        <v>4347788</v>
      </c>
      <c r="D65" s="12">
        <f>C65/G65</f>
        <v>0.14438501537237408</v>
      </c>
      <c r="E65" s="2">
        <v>25764672</v>
      </c>
      <c r="F65" s="12">
        <f>E65/G65</f>
        <v>0.8556149846276259</v>
      </c>
      <c r="G65" s="3">
        <f>C65+E65</f>
        <v>30112460</v>
      </c>
      <c r="H65" s="12">
        <f>G65/G67</f>
        <v>0.5511006604331372</v>
      </c>
      <c r="I65" s="15">
        <f>H65*I67</f>
        <v>1208153.725580803</v>
      </c>
      <c r="J65" s="15">
        <f>H65*J67</f>
        <v>4880.514382756238</v>
      </c>
      <c r="K65" s="5">
        <f>G65/5</f>
        <v>6022492</v>
      </c>
      <c r="L65" s="5">
        <f>I65/5</f>
        <v>241630.74511616057</v>
      </c>
      <c r="M65" s="5">
        <f>J65/5</f>
        <v>976.1028765512476</v>
      </c>
    </row>
    <row r="66" spans="1:7" ht="12.75">
      <c r="A66" s="11"/>
      <c r="B66" s="11"/>
      <c r="C66" s="2"/>
      <c r="D66" s="12"/>
      <c r="E66" s="2"/>
      <c r="F66" s="12"/>
      <c r="G66" s="3"/>
    </row>
    <row r="67" spans="1:13" ht="12.75">
      <c r="A67" s="11">
        <v>1611</v>
      </c>
      <c r="B67" s="11">
        <v>1620</v>
      </c>
      <c r="C67" s="2"/>
      <c r="D67" s="12"/>
      <c r="E67" s="2"/>
      <c r="F67" s="12"/>
      <c r="G67" s="3">
        <f>SUM(G64:G66)</f>
        <v>54640580.5</v>
      </c>
      <c r="H67" s="12">
        <f>SUM(H64:H66)</f>
        <v>1</v>
      </c>
      <c r="I67" s="15">
        <v>2192255.993</v>
      </c>
      <c r="J67" s="15">
        <v>8855.94</v>
      </c>
      <c r="K67" s="5">
        <f>SUM(K64:K66)/2</f>
        <v>5464058.05</v>
      </c>
      <c r="L67" s="5">
        <f>SUM(L64:L66)/2</f>
        <v>219225.59929999997</v>
      </c>
      <c r="M67" s="5">
        <f>SUM(M64:M66)/2</f>
        <v>885.594</v>
      </c>
    </row>
    <row r="68" spans="1:7" ht="12.75">
      <c r="A68" s="11"/>
      <c r="B68" s="11"/>
      <c r="C68" s="2"/>
      <c r="D68" s="12"/>
      <c r="E68" s="2"/>
      <c r="F68" s="12"/>
      <c r="G68" s="3"/>
    </row>
    <row r="69" spans="1:13" ht="12.75">
      <c r="A69" s="11">
        <v>1621</v>
      </c>
      <c r="B69" s="11">
        <v>1625</v>
      </c>
      <c r="C69" s="2">
        <v>4891156</v>
      </c>
      <c r="D69" s="12">
        <f>C69/G69</f>
        <v>0.1810823078731621</v>
      </c>
      <c r="E69" s="2">
        <v>22119522.5</v>
      </c>
      <c r="F69" s="12">
        <f>E69/G69</f>
        <v>0.818917692126838</v>
      </c>
      <c r="G69" s="3">
        <f>C69+E69</f>
        <v>27010678.5</v>
      </c>
      <c r="H69" s="12">
        <f>G69/G72</f>
        <v>0.519783930420365</v>
      </c>
      <c r="I69" s="15">
        <f>H69*I72</f>
        <v>1115112.7598548045</v>
      </c>
      <c r="J69" s="15">
        <f>H69*J72</f>
        <v>2021.834741191919</v>
      </c>
      <c r="K69" s="5">
        <f>G69/5</f>
        <v>5402135.7</v>
      </c>
      <c r="L69" s="5">
        <f>I69/5</f>
        <v>223022.5519709609</v>
      </c>
      <c r="M69" s="5">
        <f>J69/5</f>
        <v>404.36694823838377</v>
      </c>
    </row>
    <row r="70" spans="1:13" ht="12.75">
      <c r="A70" s="11">
        <v>1626</v>
      </c>
      <c r="B70" s="11">
        <v>1630</v>
      </c>
      <c r="C70" s="2">
        <v>4618801</v>
      </c>
      <c r="D70" s="12">
        <f>C70/G70</f>
        <v>0.18508870524952659</v>
      </c>
      <c r="E70" s="2">
        <v>20335725.5</v>
      </c>
      <c r="F70" s="12">
        <f>E70/G70</f>
        <v>0.8149112947504734</v>
      </c>
      <c r="G70" s="3">
        <f>C70+E70</f>
        <v>24954526.5</v>
      </c>
      <c r="H70" s="12">
        <f>G70/G72</f>
        <v>0.4802160695796351</v>
      </c>
      <c r="I70" s="15">
        <f>H70*I72</f>
        <v>1030226.2831451958</v>
      </c>
      <c r="J70" s="15">
        <f>H70*J72</f>
        <v>1867.9252588080815</v>
      </c>
      <c r="K70" s="5">
        <f>G70/5</f>
        <v>4990905.3</v>
      </c>
      <c r="L70" s="5">
        <f>I70/5</f>
        <v>206045.25662903916</v>
      </c>
      <c r="M70" s="5">
        <f>J70/5</f>
        <v>373.5850517616163</v>
      </c>
    </row>
    <row r="71" spans="1:7" ht="12.75">
      <c r="A71" s="11"/>
      <c r="B71" s="11"/>
      <c r="C71" s="2"/>
      <c r="D71" s="12"/>
      <c r="E71" s="2"/>
      <c r="F71" s="12"/>
      <c r="G71" s="3"/>
    </row>
    <row r="72" spans="1:13" ht="12.75">
      <c r="A72" s="11">
        <v>1621</v>
      </c>
      <c r="B72" s="11">
        <v>1630</v>
      </c>
      <c r="C72" s="2"/>
      <c r="D72" s="12"/>
      <c r="E72" s="2"/>
      <c r="F72" s="12"/>
      <c r="G72" s="3">
        <f>SUM(G69:G71)</f>
        <v>51965205</v>
      </c>
      <c r="H72" s="12">
        <f>SUM(H69:H71)</f>
        <v>1</v>
      </c>
      <c r="I72" s="15">
        <v>2145339.043</v>
      </c>
      <c r="J72" s="15">
        <v>3889.76</v>
      </c>
      <c r="K72" s="5">
        <f>SUM(K69:K71)/2</f>
        <v>5196520.5</v>
      </c>
      <c r="L72" s="5">
        <f>SUM(L69:L71)/2</f>
        <v>214533.90430000002</v>
      </c>
      <c r="M72" s="5">
        <f>SUM(M69:M71)/2</f>
        <v>388.976</v>
      </c>
    </row>
    <row r="73" spans="1:7" ht="12.75">
      <c r="A73" s="11"/>
      <c r="B73" s="11"/>
      <c r="C73" s="2"/>
      <c r="D73" s="12"/>
      <c r="E73" s="2"/>
      <c r="F73" s="12"/>
      <c r="G73" s="3"/>
    </row>
    <row r="74" spans="1:13" ht="12.75">
      <c r="A74" s="11">
        <v>1631</v>
      </c>
      <c r="B74" s="11">
        <v>1635</v>
      </c>
      <c r="C74" s="2">
        <v>4733824.5</v>
      </c>
      <c r="D74" s="12">
        <f>C74/G74</f>
        <v>0.27665623819828045</v>
      </c>
      <c r="E74" s="2">
        <v>12377029.5</v>
      </c>
      <c r="F74" s="12">
        <f>E74/G74</f>
        <v>0.7233437618017196</v>
      </c>
      <c r="G74" s="3">
        <f>C74+E74</f>
        <v>17110854</v>
      </c>
      <c r="H74" s="12">
        <f>G74/G77</f>
        <v>0.5119108621883872</v>
      </c>
      <c r="I74" s="15">
        <f>H74*I77</f>
        <v>715016.4080344416</v>
      </c>
      <c r="J74" s="15">
        <f>H74*J77</f>
        <v>634.9742334584755</v>
      </c>
      <c r="K74" s="5">
        <f>G74/5</f>
        <v>3422170.8</v>
      </c>
      <c r="L74" s="5">
        <f>I74/5</f>
        <v>143003.28160688834</v>
      </c>
      <c r="M74" s="5">
        <f>J74/5</f>
        <v>126.9948466916951</v>
      </c>
    </row>
    <row r="75" spans="1:13" ht="12.75">
      <c r="A75" s="11">
        <v>1636</v>
      </c>
      <c r="B75" s="11">
        <v>1640</v>
      </c>
      <c r="C75" s="2">
        <v>4691303</v>
      </c>
      <c r="D75" s="12">
        <f>C75/G75</f>
        <v>0.28755240244291586</v>
      </c>
      <c r="E75" s="2">
        <v>11623299</v>
      </c>
      <c r="F75" s="12">
        <f>E75/G75</f>
        <v>0.7124475975570841</v>
      </c>
      <c r="G75" s="3">
        <f>C75+E75</f>
        <v>16314602</v>
      </c>
      <c r="H75" s="12">
        <f>G75/G77</f>
        <v>0.4880891378116128</v>
      </c>
      <c r="I75" s="15">
        <f>H75*I77</f>
        <v>681743.1859655584</v>
      </c>
      <c r="J75" s="15">
        <f>H75*J77</f>
        <v>605.4257665415246</v>
      </c>
      <c r="K75" s="5">
        <f>G75/5</f>
        <v>3262920.4</v>
      </c>
      <c r="L75" s="5">
        <f>I75/5</f>
        <v>136348.63719311167</v>
      </c>
      <c r="M75" s="5">
        <f>J75/5</f>
        <v>121.08515330830491</v>
      </c>
    </row>
    <row r="76" spans="1:7" ht="12.75">
      <c r="A76" s="11"/>
      <c r="B76" s="11"/>
      <c r="C76" s="2"/>
      <c r="D76" s="12"/>
      <c r="E76" s="2"/>
      <c r="F76" s="12"/>
      <c r="G76" s="3"/>
    </row>
    <row r="77" spans="1:13" ht="12.75">
      <c r="A77" s="11">
        <v>1631</v>
      </c>
      <c r="B77" s="11">
        <v>1640</v>
      </c>
      <c r="C77" s="2"/>
      <c r="D77" s="12"/>
      <c r="E77" s="2"/>
      <c r="F77" s="12"/>
      <c r="G77" s="3">
        <f>SUM(G74:G76)</f>
        <v>33425456</v>
      </c>
      <c r="H77" s="12">
        <f>SUM(H74:H76)</f>
        <v>1</v>
      </c>
      <c r="I77" s="15">
        <v>1396759.594</v>
      </c>
      <c r="J77" s="15">
        <v>1240.4</v>
      </c>
      <c r="K77" s="5">
        <f>SUM(K74:K76)/2</f>
        <v>3342545.5999999996</v>
      </c>
      <c r="L77" s="5">
        <f>SUM(L74:L76)/2</f>
        <v>139675.9594</v>
      </c>
      <c r="M77" s="5">
        <f>SUM(M74:M76)/2</f>
        <v>124.04</v>
      </c>
    </row>
    <row r="78" spans="1:7" ht="12.75">
      <c r="A78" s="11"/>
      <c r="B78" s="11"/>
      <c r="C78" s="2"/>
      <c r="D78" s="12"/>
      <c r="E78" s="2"/>
      <c r="F78" s="12"/>
      <c r="G78" s="3"/>
    </row>
    <row r="79" spans="1:13" ht="12.75">
      <c r="A79" s="11">
        <v>1641</v>
      </c>
      <c r="B79" s="11">
        <v>1645</v>
      </c>
      <c r="C79" s="2">
        <v>4643662</v>
      </c>
      <c r="D79" s="12">
        <f>C79/G79</f>
        <v>0.33738220233834365</v>
      </c>
      <c r="E79" s="2">
        <v>9120140.5</v>
      </c>
      <c r="F79" s="12">
        <f>E79/G79</f>
        <v>0.6626177976616564</v>
      </c>
      <c r="G79" s="3">
        <f>C79+E79</f>
        <v>13763802.5</v>
      </c>
      <c r="H79" s="12">
        <f>G79/G82</f>
        <v>0.5390308650705984</v>
      </c>
      <c r="I79" s="15">
        <f>H79*I82</f>
        <v>569448.897490348</v>
      </c>
      <c r="J79" s="15">
        <f>H79*J82</f>
        <v>835.1690320317344</v>
      </c>
      <c r="K79" s="5">
        <f>G79/5</f>
        <v>2752760.5</v>
      </c>
      <c r="L79" s="5">
        <f>I79/5</f>
        <v>113889.77949806959</v>
      </c>
      <c r="M79" s="5">
        <f>J79/5</f>
        <v>167.03380640634688</v>
      </c>
    </row>
    <row r="80" spans="1:13" ht="12.75">
      <c r="A80" s="11">
        <v>1646</v>
      </c>
      <c r="B80" s="11">
        <v>1650</v>
      </c>
      <c r="C80" s="2">
        <v>1665112.5</v>
      </c>
      <c r="D80" s="12">
        <f>C80/G80</f>
        <v>0.14146432616937854</v>
      </c>
      <c r="E80" s="2">
        <v>10105434.5</v>
      </c>
      <c r="F80" s="12">
        <f>E80/G80</f>
        <v>0.8585356738306215</v>
      </c>
      <c r="G80" s="3">
        <f>C80+E80</f>
        <v>11770547</v>
      </c>
      <c r="H80" s="12">
        <f>G80/G82</f>
        <v>0.46096913492940167</v>
      </c>
      <c r="I80" s="15">
        <f>H80*I82</f>
        <v>486982.06850965216</v>
      </c>
      <c r="J80" s="15">
        <f>H80*J82</f>
        <v>714.2209679682657</v>
      </c>
      <c r="K80" s="5">
        <f>G80/5</f>
        <v>2354109.4</v>
      </c>
      <c r="L80" s="5">
        <f>I80/5</f>
        <v>97396.41370193043</v>
      </c>
      <c r="M80" s="5">
        <f>J80/5</f>
        <v>142.84419359365313</v>
      </c>
    </row>
    <row r="81" spans="1:7" ht="12.75">
      <c r="A81" s="11"/>
      <c r="B81" s="11"/>
      <c r="C81" s="2"/>
      <c r="D81" s="12"/>
      <c r="E81" s="2"/>
      <c r="F81" s="12"/>
      <c r="G81" s="3"/>
    </row>
    <row r="82" spans="1:13" ht="12.75">
      <c r="A82" s="11">
        <v>1641</v>
      </c>
      <c r="B82" s="11">
        <v>1650</v>
      </c>
      <c r="C82" s="2"/>
      <c r="D82" s="12"/>
      <c r="E82" s="2"/>
      <c r="F82" s="12"/>
      <c r="G82" s="3">
        <f>SUM(G79:G81)</f>
        <v>25534349.5</v>
      </c>
      <c r="H82" s="12">
        <f>SUM(H79:H81)</f>
        <v>1</v>
      </c>
      <c r="I82" s="15">
        <v>1056430.966</v>
      </c>
      <c r="J82" s="15">
        <v>1549.39</v>
      </c>
      <c r="K82" s="5">
        <f>SUM(K79:K81)/2</f>
        <v>2553434.95</v>
      </c>
      <c r="L82" s="5">
        <f>SUM(L79:L81)/2</f>
        <v>105643.09660000002</v>
      </c>
      <c r="M82" s="5">
        <f>SUM(M79:M81)/2</f>
        <v>154.93900000000002</v>
      </c>
    </row>
    <row r="83" spans="1:7" ht="12.75">
      <c r="A83" s="11"/>
      <c r="B83" s="11"/>
      <c r="C83" s="2"/>
      <c r="D83" s="12"/>
      <c r="E83" s="2"/>
      <c r="F83" s="12"/>
      <c r="G83" s="3"/>
    </row>
    <row r="84" spans="1:13" ht="12.75">
      <c r="A84" s="11">
        <v>1651</v>
      </c>
      <c r="B84" s="11">
        <v>1655</v>
      </c>
      <c r="C84" s="2">
        <v>2238878</v>
      </c>
      <c r="D84" s="12">
        <f>C84/G84</f>
        <v>0.30695770786206905</v>
      </c>
      <c r="E84" s="2">
        <v>5054889</v>
      </c>
      <c r="F84" s="12">
        <f>E84/G84</f>
        <v>0.6930422921379309</v>
      </c>
      <c r="G84" s="3">
        <f>C84+E84</f>
        <v>7293767</v>
      </c>
      <c r="H84" s="12">
        <f>G84/G87</f>
        <v>0.6845469201560881</v>
      </c>
      <c r="I84" s="15">
        <f>H84*I87</f>
        <v>303429.90340332536</v>
      </c>
      <c r="J84" s="15">
        <f>H84*J87</f>
        <v>321.34686072887246</v>
      </c>
      <c r="K84" s="5">
        <f>G84/5</f>
        <v>1458753.4</v>
      </c>
      <c r="L84" s="5">
        <f>I84/5</f>
        <v>60685.980680665074</v>
      </c>
      <c r="M84" s="5">
        <f>J84/5</f>
        <v>64.2693721457745</v>
      </c>
    </row>
    <row r="85" spans="1:13" ht="12.75">
      <c r="A85" s="11">
        <v>1656</v>
      </c>
      <c r="B85" s="11">
        <v>1660</v>
      </c>
      <c r="C85" s="2">
        <v>606524</v>
      </c>
      <c r="D85" s="12">
        <f>C85/G85</f>
        <v>0.18045318585451764</v>
      </c>
      <c r="E85" s="2">
        <v>2754591.5</v>
      </c>
      <c r="F85" s="12">
        <f>E85/G85</f>
        <v>0.8195468141454824</v>
      </c>
      <c r="G85" s="3">
        <f>C85+E85</f>
        <v>3361115.5</v>
      </c>
      <c r="H85" s="12">
        <f>G85/G87</f>
        <v>0.3154530798439119</v>
      </c>
      <c r="I85" s="15">
        <f>H85*I87</f>
        <v>139826.64259667462</v>
      </c>
      <c r="J85" s="15">
        <f>H85*J87</f>
        <v>148.08313927112758</v>
      </c>
      <c r="K85" s="5">
        <f>G85/5</f>
        <v>672223.1</v>
      </c>
      <c r="L85" s="5">
        <f>I85/5</f>
        <v>27965.328519334922</v>
      </c>
      <c r="M85" s="5">
        <f>J85/5</f>
        <v>29.616627854225516</v>
      </c>
    </row>
    <row r="86" spans="1:7" ht="12.75">
      <c r="A86" s="11"/>
      <c r="B86" s="11"/>
      <c r="C86" s="2"/>
      <c r="D86" s="12"/>
      <c r="E86" s="2"/>
      <c r="F86" s="12"/>
      <c r="G86" s="3"/>
    </row>
    <row r="87" spans="1:13" ht="12.75">
      <c r="A87" s="11" t="s">
        <v>102</v>
      </c>
      <c r="B87" s="11">
        <v>1660</v>
      </c>
      <c r="C87" s="2"/>
      <c r="D87" s="12"/>
      <c r="E87" s="2"/>
      <c r="F87" s="12"/>
      <c r="G87" s="3">
        <f>SUM(G84:G86)</f>
        <v>10654882.5</v>
      </c>
      <c r="H87" s="12">
        <f>SUM(H84:H86)</f>
        <v>1</v>
      </c>
      <c r="I87" s="15">
        <v>443256.546</v>
      </c>
      <c r="J87" s="15">
        <v>469.43</v>
      </c>
      <c r="K87" s="5">
        <f>SUM(K84:K86)/2</f>
        <v>1065488.25</v>
      </c>
      <c r="L87" s="5">
        <f>SUM(L84:L86)/2</f>
        <v>44325.654599999994</v>
      </c>
      <c r="M87" s="5">
        <f>SUM(M84:M86)/2</f>
        <v>46.943000000000005</v>
      </c>
    </row>
    <row r="88" spans="1:7" ht="12.75">
      <c r="A88" s="11"/>
      <c r="B88" s="11"/>
      <c r="C88" s="2"/>
      <c r="D88" s="12"/>
      <c r="E88" s="2"/>
      <c r="F88" s="12"/>
      <c r="G88" s="3"/>
    </row>
    <row r="89" spans="1:7" ht="12.75">
      <c r="A89" s="11"/>
      <c r="B89" s="11"/>
      <c r="C89" s="2"/>
      <c r="D89" s="12"/>
      <c r="E89" s="2"/>
      <c r="F89" s="12"/>
      <c r="G89" s="3"/>
    </row>
    <row r="90" spans="1:10" ht="12.75">
      <c r="A90" s="11"/>
      <c r="B90" s="11"/>
      <c r="C90" s="2">
        <v>117386086.5</v>
      </c>
      <c r="D90" s="12">
        <v>0.26212728801466967</v>
      </c>
      <c r="E90" s="2">
        <v>330434845.8</v>
      </c>
      <c r="F90" s="12">
        <v>0.7378727119853303</v>
      </c>
      <c r="G90" s="3">
        <v>447820932.3</v>
      </c>
      <c r="I90" s="15">
        <v>16886815.303</v>
      </c>
      <c r="J90" s="15">
        <v>181333.18</v>
      </c>
    </row>
    <row r="91" spans="1:7" ht="12.75">
      <c r="A91" s="11"/>
      <c r="B91" s="11"/>
      <c r="C91" s="2"/>
      <c r="D91" s="12"/>
      <c r="E91" s="2"/>
      <c r="F91" s="12"/>
      <c r="G91" s="3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5"/>
  </sheetPr>
  <dimension ref="A1:J5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3" width="14.7109375" style="0" customWidth="1"/>
    <col min="4" max="4" width="15.140625" style="0" customWidth="1"/>
    <col min="5" max="5" width="12.421875" style="0" customWidth="1"/>
    <col min="6" max="6" width="16.8515625" style="0" customWidth="1"/>
    <col min="7" max="7" width="14.28125" style="0" customWidth="1"/>
    <col min="8" max="8" width="13.28125" style="0" customWidth="1"/>
    <col min="10" max="10" width="10.28125" style="0" customWidth="1"/>
  </cols>
  <sheetData>
    <row r="1" spans="2:8" ht="12.75">
      <c r="B1" s="13" t="s">
        <v>288</v>
      </c>
      <c r="C1" s="2"/>
      <c r="D1" s="15"/>
      <c r="E1" s="15"/>
      <c r="F1" s="5"/>
      <c r="G1" s="5"/>
      <c r="H1" s="5"/>
    </row>
    <row r="2" spans="1:8" ht="12.75">
      <c r="A2" s="11"/>
      <c r="B2" s="2" t="s">
        <v>343</v>
      </c>
      <c r="C2" s="2"/>
      <c r="D2" s="15"/>
      <c r="E2" s="15"/>
      <c r="F2" s="5"/>
      <c r="G2" s="5"/>
      <c r="H2" s="5"/>
    </row>
    <row r="3" spans="1:8" ht="12.75">
      <c r="A3" s="11"/>
      <c r="B3" s="11"/>
      <c r="C3" s="2"/>
      <c r="D3" s="15"/>
      <c r="E3" s="15"/>
      <c r="F3" s="5"/>
      <c r="G3" s="5"/>
      <c r="H3" s="5"/>
    </row>
    <row r="4" spans="1:8" ht="12.75">
      <c r="A4" s="11"/>
      <c r="B4" s="11"/>
      <c r="C4" s="2"/>
      <c r="D4" s="15"/>
      <c r="E4" s="15"/>
      <c r="F4" s="4" t="s">
        <v>431</v>
      </c>
      <c r="G4" s="4" t="s">
        <v>427</v>
      </c>
      <c r="H4" s="4" t="s">
        <v>427</v>
      </c>
    </row>
    <row r="5" spans="1:8" ht="12.75">
      <c r="A5" s="11" t="s">
        <v>575</v>
      </c>
      <c r="B5" s="11" t="s">
        <v>575</v>
      </c>
      <c r="C5" s="3" t="s">
        <v>561</v>
      </c>
      <c r="D5" s="16" t="s">
        <v>516</v>
      </c>
      <c r="E5" s="16" t="s">
        <v>312</v>
      </c>
      <c r="F5" s="4" t="s">
        <v>246</v>
      </c>
      <c r="G5" s="4" t="s">
        <v>516</v>
      </c>
      <c r="H5" s="4" t="s">
        <v>312</v>
      </c>
    </row>
    <row r="6" spans="1:8" ht="12.75">
      <c r="A6" s="11" t="s">
        <v>242</v>
      </c>
      <c r="B6" s="11" t="s">
        <v>276</v>
      </c>
      <c r="C6" s="3" t="s">
        <v>200</v>
      </c>
      <c r="D6" s="16" t="s">
        <v>555</v>
      </c>
      <c r="E6" s="16" t="s">
        <v>555</v>
      </c>
      <c r="F6" s="4" t="s">
        <v>325</v>
      </c>
      <c r="G6" s="4" t="s">
        <v>329</v>
      </c>
      <c r="H6" s="4" t="s">
        <v>329</v>
      </c>
    </row>
    <row r="7" spans="1:8" ht="12.75">
      <c r="A7" s="11"/>
      <c r="B7" s="11"/>
      <c r="C7" s="2"/>
      <c r="D7" s="15"/>
      <c r="E7" s="15"/>
      <c r="F7" s="5"/>
      <c r="G7" s="5"/>
      <c r="H7" s="5"/>
    </row>
    <row r="8" spans="1:8" ht="12.75">
      <c r="A8" s="11"/>
      <c r="B8" s="11"/>
      <c r="C8" s="2"/>
      <c r="D8" s="15"/>
      <c r="E8" s="15"/>
      <c r="F8" s="5"/>
      <c r="G8" s="5"/>
      <c r="H8" s="5"/>
    </row>
    <row r="9" spans="1:10" ht="12.75">
      <c r="A9" s="11">
        <v>1503</v>
      </c>
      <c r="B9" s="11">
        <v>1505</v>
      </c>
      <c r="C9" s="2">
        <v>371055.3</v>
      </c>
      <c r="D9" s="15"/>
      <c r="E9" s="15">
        <v>1551.7300418094355</v>
      </c>
      <c r="F9" s="5">
        <v>123685.1</v>
      </c>
      <c r="G9" s="5"/>
      <c r="H9" s="5">
        <v>517.2433472698118</v>
      </c>
      <c r="J9" s="15">
        <v>1551.7300418094355</v>
      </c>
    </row>
    <row r="10" spans="1:10" ht="12.75">
      <c r="A10" s="11">
        <v>1506</v>
      </c>
      <c r="B10" s="11">
        <v>1510</v>
      </c>
      <c r="C10" s="2">
        <v>816236.5</v>
      </c>
      <c r="D10" s="15"/>
      <c r="E10" s="15">
        <v>3413.4499581905648</v>
      </c>
      <c r="F10" s="5">
        <v>163247.3</v>
      </c>
      <c r="G10" s="5"/>
      <c r="H10" s="5">
        <v>682.6899916381129</v>
      </c>
      <c r="J10" s="15">
        <v>3413.4499581905648</v>
      </c>
    </row>
    <row r="11" spans="1:10" ht="12.75">
      <c r="A11" s="11">
        <v>1511</v>
      </c>
      <c r="B11" s="11">
        <v>1515</v>
      </c>
      <c r="C11" s="2">
        <v>1195553.5</v>
      </c>
      <c r="D11" s="15"/>
      <c r="E11" s="15">
        <v>4999.732361973729</v>
      </c>
      <c r="F11" s="5">
        <v>239110.7</v>
      </c>
      <c r="G11" s="5"/>
      <c r="H11" s="5">
        <v>999.9464723947458</v>
      </c>
      <c r="J11">
        <f>SUM(J9:J10)/8</f>
        <v>620.6475</v>
      </c>
    </row>
    <row r="12" spans="1:8" ht="12.75">
      <c r="A12" s="11">
        <v>1516</v>
      </c>
      <c r="B12" s="11">
        <v>1520</v>
      </c>
      <c r="C12" s="2">
        <v>993196.5</v>
      </c>
      <c r="D12" s="15"/>
      <c r="E12" s="15">
        <v>4153.48763802627</v>
      </c>
      <c r="F12" s="5">
        <v>198639.3</v>
      </c>
      <c r="G12" s="5"/>
      <c r="H12" s="5">
        <v>830.6975276052541</v>
      </c>
    </row>
    <row r="13" spans="1:8" ht="12.75">
      <c r="A13" s="11">
        <v>1521</v>
      </c>
      <c r="B13" s="11">
        <v>1525</v>
      </c>
      <c r="C13" s="2">
        <v>134170</v>
      </c>
      <c r="D13" s="15">
        <v>17.018755328938</v>
      </c>
      <c r="E13" s="15">
        <v>559.4063812513485</v>
      </c>
      <c r="F13" s="5">
        <v>26834</v>
      </c>
      <c r="G13" s="5">
        <v>3.4037510657876</v>
      </c>
      <c r="H13" s="5">
        <v>111.8812762502697</v>
      </c>
    </row>
    <row r="14" spans="1:8" ht="12.75">
      <c r="A14" s="11">
        <v>1526</v>
      </c>
      <c r="B14" s="11">
        <v>1530</v>
      </c>
      <c r="C14" s="2">
        <v>1038437</v>
      </c>
      <c r="D14" s="15">
        <v>131.720244671062</v>
      </c>
      <c r="E14" s="15">
        <v>4329.6436187486515</v>
      </c>
      <c r="F14" s="5">
        <v>207687.4</v>
      </c>
      <c r="G14" s="5">
        <v>26.344048934212402</v>
      </c>
      <c r="H14" s="5">
        <v>865.9287237497304</v>
      </c>
    </row>
    <row r="15" spans="1:8" ht="12.75">
      <c r="A15" s="11">
        <v>1531</v>
      </c>
      <c r="B15" s="11">
        <v>1535</v>
      </c>
      <c r="C15" s="2">
        <v>1650231</v>
      </c>
      <c r="D15" s="15">
        <v>25453.95049202675</v>
      </c>
      <c r="E15" s="15">
        <v>4272.066976542928</v>
      </c>
      <c r="F15" s="5">
        <v>330046.2</v>
      </c>
      <c r="G15" s="5">
        <v>5090.79009840535</v>
      </c>
      <c r="H15" s="5">
        <v>854.4133953085857</v>
      </c>
    </row>
    <row r="16" spans="1:8" ht="12.75">
      <c r="A16" s="11">
        <v>1536</v>
      </c>
      <c r="B16" s="11">
        <v>1540</v>
      </c>
      <c r="C16" s="2">
        <v>3937892</v>
      </c>
      <c r="D16" s="15">
        <v>60739.92550797325</v>
      </c>
      <c r="E16" s="15">
        <v>10194.293023457072</v>
      </c>
      <c r="F16" s="5">
        <v>787578.4</v>
      </c>
      <c r="G16" s="5">
        <v>12147.98510159465</v>
      </c>
      <c r="H16" s="5">
        <v>2038.8586046914145</v>
      </c>
    </row>
    <row r="17" spans="1:8" ht="12.75">
      <c r="A17" s="11">
        <v>1541</v>
      </c>
      <c r="B17" s="11">
        <v>1545</v>
      </c>
      <c r="C17" s="2">
        <v>4954005</v>
      </c>
      <c r="D17" s="15">
        <v>84079.34826117997</v>
      </c>
      <c r="E17" s="15">
        <v>11816.983927084517</v>
      </c>
      <c r="F17" s="5">
        <v>990801</v>
      </c>
      <c r="G17" s="5">
        <v>16815.869652235993</v>
      </c>
      <c r="H17" s="5">
        <v>2363.396785416903</v>
      </c>
    </row>
    <row r="18" spans="1:8" ht="12.75">
      <c r="A18" s="11">
        <v>1546</v>
      </c>
      <c r="B18" s="11">
        <v>1550</v>
      </c>
      <c r="C18" s="2">
        <v>5508711</v>
      </c>
      <c r="D18" s="15">
        <v>93493.81573882002</v>
      </c>
      <c r="E18" s="15">
        <v>13140.146072915484</v>
      </c>
      <c r="F18" s="5">
        <v>1101742.2</v>
      </c>
      <c r="G18" s="5">
        <v>18698.763147764002</v>
      </c>
      <c r="H18" s="5">
        <v>2628.0292145830967</v>
      </c>
    </row>
    <row r="19" spans="1:8" ht="12.75">
      <c r="A19" s="11"/>
      <c r="B19" s="11"/>
      <c r="C19" s="2"/>
      <c r="D19" s="15"/>
      <c r="E19" s="15"/>
      <c r="F19" s="5"/>
      <c r="G19" s="5"/>
      <c r="H19" s="5"/>
    </row>
    <row r="20" spans="1:8" ht="12.75">
      <c r="A20" s="11"/>
      <c r="B20" s="11"/>
      <c r="C20" s="2"/>
      <c r="D20" s="15">
        <f>SUM(D13:D19)</f>
        <v>263915.779</v>
      </c>
      <c r="E20" s="15">
        <f>SUM(E9:E19)</f>
        <v>58430.94000000001</v>
      </c>
      <c r="F20" s="5"/>
      <c r="G20" s="5"/>
      <c r="H20" s="5"/>
    </row>
    <row r="21" spans="1:8" ht="12.75">
      <c r="A21" s="11"/>
      <c r="B21" s="11"/>
      <c r="C21" s="2"/>
      <c r="D21" s="15"/>
      <c r="E21" s="15"/>
      <c r="F21" s="5"/>
      <c r="G21" s="5"/>
      <c r="H21" s="5"/>
    </row>
    <row r="22" spans="1:8" ht="12.75">
      <c r="A22" s="11">
        <v>1551</v>
      </c>
      <c r="B22" s="11">
        <v>1555</v>
      </c>
      <c r="C22" s="2">
        <v>9865531</v>
      </c>
      <c r="D22" s="15">
        <v>167396.03127266205</v>
      </c>
      <c r="E22" s="15">
        <v>23536.568397308198</v>
      </c>
      <c r="F22" s="5">
        <v>1973106.2</v>
      </c>
      <c r="G22" s="5">
        <v>33479.20625453241</v>
      </c>
      <c r="H22" s="5">
        <v>4707.313679461639</v>
      </c>
    </row>
    <row r="23" spans="1:8" ht="12.75">
      <c r="A23" s="11">
        <v>1556</v>
      </c>
      <c r="B23" s="11">
        <v>1560</v>
      </c>
      <c r="C23" s="2">
        <v>7998998.5</v>
      </c>
      <c r="D23" s="15">
        <v>135725.14272733792</v>
      </c>
      <c r="E23" s="15">
        <v>19083.511602691804</v>
      </c>
      <c r="F23" s="5">
        <v>1599799.7</v>
      </c>
      <c r="G23" s="5">
        <v>27145.028545467583</v>
      </c>
      <c r="H23" s="5">
        <v>3816.7023205383607</v>
      </c>
    </row>
    <row r="24" spans="1:8" ht="12.75">
      <c r="A24" s="11">
        <v>1561</v>
      </c>
      <c r="B24" s="11">
        <v>1565</v>
      </c>
      <c r="C24" s="2">
        <v>11207535.5</v>
      </c>
      <c r="D24" s="15">
        <v>416869.5878872737</v>
      </c>
      <c r="E24" s="15">
        <v>5098.2164524938535</v>
      </c>
      <c r="F24" s="5">
        <v>2241507.1</v>
      </c>
      <c r="G24" s="5">
        <v>83373.91757745473</v>
      </c>
      <c r="H24" s="5">
        <v>1019.6432904987707</v>
      </c>
    </row>
    <row r="25" spans="1:8" ht="12.75">
      <c r="A25" s="11">
        <v>1566</v>
      </c>
      <c r="B25" s="11">
        <v>1570</v>
      </c>
      <c r="C25" s="2">
        <v>14141215.5</v>
      </c>
      <c r="D25" s="15">
        <v>525989.2041127264</v>
      </c>
      <c r="E25" s="15">
        <v>6432.723547506147</v>
      </c>
      <c r="F25" s="5">
        <v>2828243.1</v>
      </c>
      <c r="G25" s="5">
        <v>105197.84082254527</v>
      </c>
      <c r="H25" s="5">
        <v>1286.5447095012294</v>
      </c>
    </row>
    <row r="26" spans="1:8" ht="12.75">
      <c r="A26" s="11">
        <v>1571</v>
      </c>
      <c r="B26" s="11">
        <v>1575</v>
      </c>
      <c r="C26" s="2">
        <v>11906609</v>
      </c>
      <c r="D26" s="15">
        <v>456766.0952559021</v>
      </c>
      <c r="E26" s="15">
        <v>3850.297191947473</v>
      </c>
      <c r="F26" s="5">
        <v>2381321.8</v>
      </c>
      <c r="G26" s="5">
        <v>91353.21905118042</v>
      </c>
      <c r="H26" s="5">
        <v>770.0594383894946</v>
      </c>
    </row>
    <row r="27" spans="1:8" ht="12.75">
      <c r="A27" s="11">
        <v>1576</v>
      </c>
      <c r="B27" s="11">
        <v>1580</v>
      </c>
      <c r="C27" s="2">
        <v>17251941</v>
      </c>
      <c r="D27" s="15">
        <v>661825.8587440978</v>
      </c>
      <c r="E27" s="15">
        <v>5578.8428080525255</v>
      </c>
      <c r="F27" s="5">
        <v>3450388.2</v>
      </c>
      <c r="G27" s="5">
        <v>132365.17174881956</v>
      </c>
      <c r="H27" s="5">
        <v>1115.768561610505</v>
      </c>
    </row>
    <row r="28" spans="1:8" ht="12.75">
      <c r="A28" s="11">
        <v>1581</v>
      </c>
      <c r="B28" s="11">
        <v>1585</v>
      </c>
      <c r="C28" s="2">
        <v>29374612</v>
      </c>
      <c r="D28" s="15">
        <v>1161037.8491167186</v>
      </c>
      <c r="E28" s="15">
        <v>6681.069279427514</v>
      </c>
      <c r="F28" s="5">
        <v>5874922.4</v>
      </c>
      <c r="G28" s="5">
        <v>232207.5698233437</v>
      </c>
      <c r="H28" s="5">
        <v>1336.2138558855027</v>
      </c>
    </row>
    <row r="29" spans="1:8" ht="12.75">
      <c r="A29" s="11">
        <v>1586</v>
      </c>
      <c r="B29" s="11">
        <v>1590</v>
      </c>
      <c r="C29" s="2">
        <v>23832630.5</v>
      </c>
      <c r="D29" s="15">
        <v>941989.8398832812</v>
      </c>
      <c r="E29" s="15">
        <v>5420.580720572486</v>
      </c>
      <c r="F29" s="5">
        <v>4766526.1</v>
      </c>
      <c r="G29" s="5">
        <v>188397.96797665622</v>
      </c>
      <c r="H29" s="5">
        <v>1084.1161441144973</v>
      </c>
    </row>
    <row r="30" spans="1:8" ht="12.75">
      <c r="A30" s="11">
        <v>1591</v>
      </c>
      <c r="B30" s="11">
        <v>1595</v>
      </c>
      <c r="C30" s="2">
        <v>35184862.5</v>
      </c>
      <c r="D30" s="15">
        <v>1368522.6942567392</v>
      </c>
      <c r="E30" s="15">
        <v>9831.381628980487</v>
      </c>
      <c r="F30" s="5">
        <v>7036972.5</v>
      </c>
      <c r="G30" s="5">
        <v>273704.53885134787</v>
      </c>
      <c r="H30" s="5">
        <v>1966.2763257960974</v>
      </c>
    </row>
    <row r="31" spans="1:8" ht="12.75">
      <c r="A31" s="11">
        <v>1596</v>
      </c>
      <c r="B31" s="11">
        <v>1600</v>
      </c>
      <c r="C31" s="2">
        <v>34428500.5</v>
      </c>
      <c r="D31" s="15">
        <v>1339103.833743261</v>
      </c>
      <c r="E31" s="15">
        <v>9620.038371019511</v>
      </c>
      <c r="F31" s="5">
        <v>6885700.1</v>
      </c>
      <c r="G31" s="5">
        <v>267820.7667486522</v>
      </c>
      <c r="H31" s="5">
        <v>1924.0076742039023</v>
      </c>
    </row>
    <row r="32" spans="1:8" ht="12.75">
      <c r="A32" s="11"/>
      <c r="B32" s="11"/>
      <c r="C32" s="2"/>
      <c r="D32" s="15"/>
      <c r="E32" s="15"/>
      <c r="F32" s="5"/>
      <c r="G32" s="5"/>
      <c r="H32" s="5"/>
    </row>
    <row r="33" spans="1:8" ht="12.75">
      <c r="A33" s="11"/>
      <c r="B33" s="11"/>
      <c r="C33" s="2"/>
      <c r="D33" s="15">
        <f>SUM(D22:D32)</f>
        <v>7175226.137</v>
      </c>
      <c r="E33" s="15">
        <f>SUM(E22:E32)</f>
        <v>95133.23</v>
      </c>
      <c r="F33" s="5"/>
      <c r="G33" s="5"/>
      <c r="H33" s="5"/>
    </row>
    <row r="34" spans="1:8" ht="12.75">
      <c r="A34" s="11"/>
      <c r="B34" s="11"/>
      <c r="C34" s="2"/>
      <c r="D34" s="15"/>
      <c r="E34" s="15"/>
      <c r="F34" s="5"/>
      <c r="G34" s="5"/>
      <c r="H34" s="5"/>
    </row>
    <row r="35" spans="1:8" ht="12.75">
      <c r="A35" s="11">
        <v>1601</v>
      </c>
      <c r="B35" s="11">
        <v>1605</v>
      </c>
      <c r="C35" s="2">
        <v>24403328</v>
      </c>
      <c r="D35" s="15">
        <v>967951.7540244223</v>
      </c>
      <c r="E35" s="15">
        <v>5144.068857774532</v>
      </c>
      <c r="F35" s="5">
        <v>4880665.6</v>
      </c>
      <c r="G35" s="5">
        <v>193590.35080488445</v>
      </c>
      <c r="H35" s="5">
        <v>1028.8137715549065</v>
      </c>
    </row>
    <row r="36" spans="1:8" ht="12.75">
      <c r="A36" s="11">
        <v>1606</v>
      </c>
      <c r="B36" s="11">
        <v>1610</v>
      </c>
      <c r="C36" s="2">
        <v>31405207</v>
      </c>
      <c r="D36" s="15">
        <v>1245679.4909755778</v>
      </c>
      <c r="E36" s="15">
        <v>6620.021142225468</v>
      </c>
      <c r="F36" s="5">
        <v>6281041.4</v>
      </c>
      <c r="G36" s="5">
        <v>249135.89819511556</v>
      </c>
      <c r="H36" s="5">
        <v>1324.0042284450935</v>
      </c>
    </row>
    <row r="37" spans="1:8" ht="12.75">
      <c r="A37" s="11">
        <v>1611</v>
      </c>
      <c r="B37" s="11">
        <v>1615</v>
      </c>
      <c r="C37" s="2">
        <v>24528120.5</v>
      </c>
      <c r="D37" s="15">
        <v>984102.2674191969</v>
      </c>
      <c r="E37" s="15">
        <v>3975.425617243763</v>
      </c>
      <c r="F37" s="5">
        <v>4905624.1</v>
      </c>
      <c r="G37" s="5">
        <v>196820.45348383937</v>
      </c>
      <c r="H37" s="5">
        <v>795.0851234487526</v>
      </c>
    </row>
    <row r="38" spans="1:8" ht="12.75">
      <c r="A38" s="11">
        <v>1616</v>
      </c>
      <c r="B38" s="11">
        <v>1620</v>
      </c>
      <c r="C38" s="2">
        <v>30112460</v>
      </c>
      <c r="D38" s="15">
        <v>1208153.725580803</v>
      </c>
      <c r="E38" s="15">
        <v>4880.514382756238</v>
      </c>
      <c r="F38" s="5">
        <v>6022492</v>
      </c>
      <c r="G38" s="5">
        <v>241630.74511616057</v>
      </c>
      <c r="H38" s="5">
        <v>976.1028765512476</v>
      </c>
    </row>
    <row r="39" spans="1:8" ht="12.75">
      <c r="A39" s="11">
        <v>1621</v>
      </c>
      <c r="B39" s="11">
        <v>1625</v>
      </c>
      <c r="C39" s="2">
        <v>27010678.5</v>
      </c>
      <c r="D39" s="15">
        <v>1115112.7598548045</v>
      </c>
      <c r="E39" s="15">
        <v>2021.834741191919</v>
      </c>
      <c r="F39" s="5">
        <v>5402135.7</v>
      </c>
      <c r="G39" s="5">
        <v>223022.5519709609</v>
      </c>
      <c r="H39" s="5">
        <v>404.36694823838377</v>
      </c>
    </row>
    <row r="40" spans="1:8" ht="12.75">
      <c r="A40" s="11">
        <v>1626</v>
      </c>
      <c r="B40" s="11">
        <v>1630</v>
      </c>
      <c r="C40" s="2">
        <v>24954526.5</v>
      </c>
      <c r="D40" s="15">
        <v>1030226.2831451958</v>
      </c>
      <c r="E40" s="15">
        <v>1867.9252588080815</v>
      </c>
      <c r="F40" s="5">
        <v>4990905.3</v>
      </c>
      <c r="G40" s="5">
        <v>206045.25662903916</v>
      </c>
      <c r="H40" s="5">
        <v>373.5850517616163</v>
      </c>
    </row>
    <row r="41" spans="1:8" ht="12.75">
      <c r="A41" s="11">
        <v>1631</v>
      </c>
      <c r="B41" s="11">
        <v>1635</v>
      </c>
      <c r="C41" s="2">
        <v>17110854</v>
      </c>
      <c r="D41" s="15">
        <v>715016.4080344416</v>
      </c>
      <c r="E41" s="15">
        <v>634.9742334584755</v>
      </c>
      <c r="F41" s="5">
        <v>3422170.8</v>
      </c>
      <c r="G41" s="5">
        <v>143003.28160688834</v>
      </c>
      <c r="H41" s="5">
        <v>126.9948466916951</v>
      </c>
    </row>
    <row r="42" spans="1:8" ht="12.75">
      <c r="A42" s="11">
        <v>1636</v>
      </c>
      <c r="B42" s="11">
        <v>1640</v>
      </c>
      <c r="C42" s="2">
        <v>16314602</v>
      </c>
      <c r="D42" s="15">
        <v>681743.1859655584</v>
      </c>
      <c r="E42" s="15">
        <v>605.4257665415246</v>
      </c>
      <c r="F42" s="5">
        <v>3262920.4</v>
      </c>
      <c r="G42" s="5">
        <v>136348.63719311167</v>
      </c>
      <c r="H42" s="5">
        <v>121.08515330830491</v>
      </c>
    </row>
    <row r="43" spans="1:8" ht="12.75">
      <c r="A43" s="11">
        <v>1641</v>
      </c>
      <c r="B43" s="11">
        <v>1645</v>
      </c>
      <c r="C43" s="2">
        <v>13763802.5</v>
      </c>
      <c r="D43" s="15">
        <v>569448.897490348</v>
      </c>
      <c r="E43" s="15">
        <v>835.1690320317344</v>
      </c>
      <c r="F43" s="5">
        <v>2752760.5</v>
      </c>
      <c r="G43" s="5">
        <v>113889.77949806959</v>
      </c>
      <c r="H43" s="5">
        <v>167.03380640634688</v>
      </c>
    </row>
    <row r="44" spans="1:8" ht="12.75">
      <c r="A44" s="11">
        <v>1646</v>
      </c>
      <c r="B44" s="11">
        <v>1650</v>
      </c>
      <c r="C44" s="2">
        <v>11770547</v>
      </c>
      <c r="D44" s="15">
        <v>486982.06850965216</v>
      </c>
      <c r="E44" s="15">
        <v>714.2209679682657</v>
      </c>
      <c r="F44" s="5">
        <v>2354109.4</v>
      </c>
      <c r="G44" s="5">
        <v>97396.41370193043</v>
      </c>
      <c r="H44" s="5">
        <v>142.84419359365313</v>
      </c>
    </row>
    <row r="45" spans="1:8" ht="12.75">
      <c r="A45" s="11">
        <v>1651</v>
      </c>
      <c r="B45" s="11">
        <v>1655</v>
      </c>
      <c r="C45" s="2">
        <v>7293767</v>
      </c>
      <c r="D45" s="15">
        <v>303429.90340332536</v>
      </c>
      <c r="E45" s="15">
        <v>321.34686072887246</v>
      </c>
      <c r="F45" s="5">
        <v>1458753.4</v>
      </c>
      <c r="G45" s="5">
        <v>60685.980680665074</v>
      </c>
      <c r="H45" s="5">
        <v>64.2693721457745</v>
      </c>
    </row>
    <row r="46" spans="1:8" ht="12.75">
      <c r="A46" s="11">
        <v>1656</v>
      </c>
      <c r="B46" s="11">
        <v>1660</v>
      </c>
      <c r="C46" s="2">
        <v>3361115.5</v>
      </c>
      <c r="D46" s="15">
        <v>139826.64259667462</v>
      </c>
      <c r="E46" s="15">
        <v>148.08313927112758</v>
      </c>
      <c r="F46" s="5">
        <v>672223.1</v>
      </c>
      <c r="G46" s="5">
        <v>27965.328519334922</v>
      </c>
      <c r="H46" s="5">
        <v>29.616627854225516</v>
      </c>
    </row>
    <row r="47" spans="1:8" ht="12.75">
      <c r="A47" s="11"/>
      <c r="B47" s="11"/>
      <c r="C47" s="2"/>
      <c r="D47" s="15"/>
      <c r="E47" s="15"/>
      <c r="F47" s="5"/>
      <c r="G47" s="5"/>
      <c r="H47" s="5"/>
    </row>
    <row r="48" spans="1:8" ht="12.75">
      <c r="A48" s="11"/>
      <c r="B48" s="11"/>
      <c r="C48" s="2"/>
      <c r="D48" s="15">
        <f>SUM(D35:D47)</f>
        <v>9447673.387</v>
      </c>
      <c r="E48" s="15">
        <f>SUM(E35:E47)</f>
        <v>27769.01000000001</v>
      </c>
      <c r="F48" s="5"/>
      <c r="G48" s="5"/>
      <c r="H48" s="5"/>
    </row>
    <row r="49" spans="1:8" ht="12.75">
      <c r="A49" s="11"/>
      <c r="B49" s="11"/>
      <c r="C49" s="2"/>
      <c r="D49" s="15"/>
      <c r="E49" s="15"/>
      <c r="F49" s="5"/>
      <c r="G49" s="5"/>
      <c r="H49" s="5"/>
    </row>
    <row r="50" spans="1:8" ht="12.75">
      <c r="A50" s="11"/>
      <c r="B50" s="11"/>
      <c r="C50" s="2"/>
      <c r="D50" s="15"/>
      <c r="E50" s="15"/>
      <c r="F50" s="5"/>
      <c r="G50" s="5"/>
      <c r="H50" s="5"/>
    </row>
    <row r="51" spans="1:8" ht="12.75">
      <c r="A51" s="11"/>
      <c r="B51" s="11"/>
      <c r="C51" s="2"/>
      <c r="D51" s="15"/>
      <c r="E51" s="15"/>
      <c r="F51" s="5"/>
      <c r="G51" s="5"/>
      <c r="H51" s="5"/>
    </row>
    <row r="52" spans="1:8" ht="12.75">
      <c r="A52" s="11"/>
      <c r="B52" s="11"/>
      <c r="C52" s="2">
        <v>447820932.3</v>
      </c>
      <c r="D52" s="15">
        <v>16886815.303</v>
      </c>
      <c r="E52" s="15">
        <v>181333.18</v>
      </c>
      <c r="F52" s="5"/>
      <c r="G52" s="5"/>
      <c r="H52" s="5"/>
    </row>
    <row r="53" spans="1:8" ht="12.75">
      <c r="A53" s="11"/>
      <c r="B53" s="11"/>
      <c r="C53" s="2"/>
      <c r="D53" s="15"/>
      <c r="E53" s="15"/>
      <c r="F53" s="5"/>
      <c r="G53" s="5"/>
      <c r="H53" s="5"/>
    </row>
    <row r="54" spans="4:8" ht="12.75">
      <c r="D54" s="15"/>
      <c r="E54" s="15"/>
      <c r="F54" s="5"/>
      <c r="G54" s="5"/>
      <c r="H54" s="5"/>
    </row>
    <row r="55" spans="4:8" ht="12.75">
      <c r="D55" s="15"/>
      <c r="E55" s="15"/>
      <c r="F55" s="5"/>
      <c r="G55" s="5"/>
      <c r="H55" s="5"/>
    </row>
    <row r="56" spans="4:8" ht="12.75">
      <c r="D56" s="15"/>
      <c r="E56" s="15"/>
      <c r="F56" s="5"/>
      <c r="G56" s="5"/>
      <c r="H56" s="5"/>
    </row>
    <row r="57" spans="4:8" ht="12.75">
      <c r="D57" s="15"/>
      <c r="E57" s="15"/>
      <c r="F57" s="5"/>
      <c r="G57" s="5"/>
      <c r="H57" s="5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6"/>
  </sheetPr>
  <dimension ref="A1:H42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" sqref="F6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3" width="15.57421875" style="0" customWidth="1"/>
    <col min="4" max="4" width="14.421875" style="0" customWidth="1"/>
    <col min="5" max="5" width="13.28125" style="0" customWidth="1"/>
    <col min="6" max="6" width="16.8515625" style="0" customWidth="1"/>
    <col min="7" max="7" width="14.421875" style="0" customWidth="1"/>
    <col min="8" max="8" width="13.28125" style="0" customWidth="1"/>
  </cols>
  <sheetData>
    <row r="1" spans="2:8" ht="12.75">
      <c r="B1" s="13" t="s">
        <v>288</v>
      </c>
      <c r="C1" s="2"/>
      <c r="D1" s="15"/>
      <c r="E1" s="15"/>
      <c r="F1" s="5"/>
      <c r="G1" s="5"/>
      <c r="H1" s="5"/>
    </row>
    <row r="2" spans="1:8" ht="12.75">
      <c r="A2" s="11"/>
      <c r="B2" s="2" t="s">
        <v>343</v>
      </c>
      <c r="C2" s="2"/>
      <c r="D2" s="15"/>
      <c r="E2" s="15"/>
      <c r="F2" s="5"/>
      <c r="G2" s="5"/>
      <c r="H2" s="5"/>
    </row>
    <row r="3" spans="1:8" ht="12.75">
      <c r="A3" s="11"/>
      <c r="B3" s="11"/>
      <c r="C3" s="2"/>
      <c r="D3" s="15"/>
      <c r="E3" s="15"/>
      <c r="F3" s="5"/>
      <c r="G3" s="5"/>
      <c r="H3" s="5"/>
    </row>
    <row r="4" spans="1:8" ht="12.75">
      <c r="A4" s="11"/>
      <c r="B4" s="11"/>
      <c r="C4" s="2"/>
      <c r="D4" s="15"/>
      <c r="E4" s="15"/>
      <c r="F4" s="4" t="s">
        <v>431</v>
      </c>
      <c r="G4" s="4" t="s">
        <v>427</v>
      </c>
      <c r="H4" s="4" t="s">
        <v>427</v>
      </c>
    </row>
    <row r="5" spans="1:8" ht="12.75">
      <c r="A5" s="11" t="s">
        <v>575</v>
      </c>
      <c r="B5" s="11" t="s">
        <v>575</v>
      </c>
      <c r="C5" s="3" t="s">
        <v>561</v>
      </c>
      <c r="D5" s="16" t="s">
        <v>516</v>
      </c>
      <c r="E5" s="16" t="s">
        <v>312</v>
      </c>
      <c r="F5" s="4" t="s">
        <v>246</v>
      </c>
      <c r="G5" s="4" t="s">
        <v>516</v>
      </c>
      <c r="H5" s="4" t="s">
        <v>312</v>
      </c>
    </row>
    <row r="6" spans="1:8" ht="12.75">
      <c r="A6" s="11" t="s">
        <v>242</v>
      </c>
      <c r="B6" s="11" t="s">
        <v>276</v>
      </c>
      <c r="C6" s="3" t="s">
        <v>483</v>
      </c>
      <c r="D6" s="16" t="s">
        <v>555</v>
      </c>
      <c r="E6" s="16" t="s">
        <v>555</v>
      </c>
      <c r="F6" s="3" t="s">
        <v>483</v>
      </c>
      <c r="G6" s="4" t="s">
        <v>329</v>
      </c>
      <c r="H6" s="4" t="s">
        <v>329</v>
      </c>
    </row>
    <row r="7" spans="1:8" ht="12.75">
      <c r="A7" s="11"/>
      <c r="B7" s="11"/>
      <c r="C7" s="3" t="s">
        <v>200</v>
      </c>
      <c r="D7" s="15"/>
      <c r="E7" s="15"/>
      <c r="F7" s="3" t="s">
        <v>200</v>
      </c>
      <c r="G7" s="5"/>
      <c r="H7" s="5"/>
    </row>
    <row r="8" spans="1:8" ht="12.75">
      <c r="A8" s="11"/>
      <c r="B8" s="11"/>
      <c r="C8" s="2"/>
      <c r="D8" s="15"/>
      <c r="E8" s="15"/>
      <c r="F8" s="5"/>
      <c r="G8" s="5"/>
      <c r="H8" s="5"/>
    </row>
    <row r="9" spans="1:8" ht="12.75">
      <c r="A9" s="11">
        <v>1503</v>
      </c>
      <c r="B9" s="11">
        <v>1505</v>
      </c>
      <c r="C9" s="2">
        <v>371055.3</v>
      </c>
      <c r="D9" s="15"/>
      <c r="E9" s="15">
        <v>1551.7300418094355</v>
      </c>
      <c r="F9" s="5">
        <v>123685.1</v>
      </c>
      <c r="G9" s="5"/>
      <c r="H9" s="5">
        <v>517.2433472698118</v>
      </c>
    </row>
    <row r="10" spans="1:8" ht="12.75">
      <c r="A10" s="11">
        <v>1506</v>
      </c>
      <c r="B10" s="11">
        <v>1510</v>
      </c>
      <c r="C10" s="2">
        <v>816236.5</v>
      </c>
      <c r="D10" s="15"/>
      <c r="E10" s="15">
        <v>3413.4499581905648</v>
      </c>
      <c r="F10" s="5">
        <v>163247.3</v>
      </c>
      <c r="G10" s="5"/>
      <c r="H10" s="5">
        <v>682.6899916381129</v>
      </c>
    </row>
    <row r="11" spans="1:8" ht="12.75">
      <c r="A11" s="11">
        <v>1511</v>
      </c>
      <c r="B11" s="11">
        <v>1515</v>
      </c>
      <c r="C11" s="2">
        <v>1195553.5</v>
      </c>
      <c r="D11" s="15"/>
      <c r="E11" s="15">
        <v>4999.732361973729</v>
      </c>
      <c r="F11" s="5">
        <v>239110.7</v>
      </c>
      <c r="G11" s="5"/>
      <c r="H11" s="5">
        <v>999.9464723947458</v>
      </c>
    </row>
    <row r="12" spans="1:8" ht="12.75">
      <c r="A12" s="11">
        <v>1516</v>
      </c>
      <c r="B12" s="11">
        <v>1520</v>
      </c>
      <c r="C12" s="2">
        <v>993196.5</v>
      </c>
      <c r="D12" s="15"/>
      <c r="E12" s="15">
        <v>4153.48763802627</v>
      </c>
      <c r="F12" s="5">
        <v>198639.3</v>
      </c>
      <c r="G12" s="5"/>
      <c r="H12" s="5">
        <v>830.6975276052541</v>
      </c>
    </row>
    <row r="13" spans="1:8" ht="12.75">
      <c r="A13" s="11">
        <v>1521</v>
      </c>
      <c r="B13" s="11">
        <v>1525</v>
      </c>
      <c r="C13" s="2">
        <v>134170</v>
      </c>
      <c r="D13" s="15">
        <v>17.018755328938</v>
      </c>
      <c r="E13" s="15">
        <v>559.4063812513485</v>
      </c>
      <c r="F13" s="5">
        <v>26834</v>
      </c>
      <c r="G13" s="5">
        <v>3.4037510657876</v>
      </c>
      <c r="H13" s="5">
        <v>111.8812762502697</v>
      </c>
    </row>
    <row r="14" spans="1:8" ht="12.75">
      <c r="A14" s="11">
        <v>1526</v>
      </c>
      <c r="B14" s="11">
        <v>1530</v>
      </c>
      <c r="C14" s="2">
        <v>1038437</v>
      </c>
      <c r="D14" s="15">
        <v>131.720244671062</v>
      </c>
      <c r="E14" s="15">
        <v>4329.6436187486515</v>
      </c>
      <c r="F14" s="5">
        <v>207687.4</v>
      </c>
      <c r="G14" s="5">
        <v>26.344048934212402</v>
      </c>
      <c r="H14" s="5">
        <v>865.9287237497304</v>
      </c>
    </row>
    <row r="15" spans="1:8" ht="12.75">
      <c r="A15" s="11">
        <v>1531</v>
      </c>
      <c r="B15" s="11">
        <v>1535</v>
      </c>
      <c r="C15" s="2">
        <v>1650231</v>
      </c>
      <c r="D15" s="15">
        <v>25453.95049202675</v>
      </c>
      <c r="E15" s="15">
        <v>4272.066976542928</v>
      </c>
      <c r="F15" s="5">
        <v>330046.2</v>
      </c>
      <c r="G15" s="5">
        <v>5090.79009840535</v>
      </c>
      <c r="H15" s="5">
        <v>854.4133953085857</v>
      </c>
    </row>
    <row r="16" spans="1:8" ht="12.75">
      <c r="A16" s="11">
        <v>1536</v>
      </c>
      <c r="B16" s="11">
        <v>1540</v>
      </c>
      <c r="C16" s="2">
        <v>3937892</v>
      </c>
      <c r="D16" s="15">
        <v>60739.92550797325</v>
      </c>
      <c r="E16" s="15">
        <v>10194.293023457072</v>
      </c>
      <c r="F16" s="5">
        <v>787578.4</v>
      </c>
      <c r="G16" s="5">
        <v>12147.98510159465</v>
      </c>
      <c r="H16" s="5">
        <v>2038.8586046914145</v>
      </c>
    </row>
    <row r="17" spans="1:8" ht="12.75">
      <c r="A17" s="11">
        <v>1541</v>
      </c>
      <c r="B17" s="11">
        <v>1545</v>
      </c>
      <c r="C17" s="2">
        <v>4954005</v>
      </c>
      <c r="D17" s="15">
        <v>84079.34826117997</v>
      </c>
      <c r="E17" s="15">
        <v>11816.983927084517</v>
      </c>
      <c r="F17" s="5">
        <v>990801</v>
      </c>
      <c r="G17" s="5">
        <v>16815.869652235993</v>
      </c>
      <c r="H17" s="5">
        <v>2363.396785416903</v>
      </c>
    </row>
    <row r="18" spans="1:8" ht="12.75">
      <c r="A18" s="11">
        <v>1546</v>
      </c>
      <c r="B18" s="11">
        <v>1550</v>
      </c>
      <c r="C18" s="2">
        <v>5508711</v>
      </c>
      <c r="D18" s="15">
        <v>93493.81573882002</v>
      </c>
      <c r="E18" s="15">
        <v>13140.146072915484</v>
      </c>
      <c r="F18" s="5">
        <v>1101742.2</v>
      </c>
      <c r="G18" s="5">
        <v>18698.763147764002</v>
      </c>
      <c r="H18" s="5">
        <v>2628.0292145830967</v>
      </c>
    </row>
    <row r="19" spans="1:8" ht="12.75">
      <c r="A19" s="11">
        <v>1551</v>
      </c>
      <c r="B19" s="11">
        <v>1555</v>
      </c>
      <c r="C19" s="2">
        <v>9865531</v>
      </c>
      <c r="D19" s="15">
        <v>167396.03127266205</v>
      </c>
      <c r="E19" s="15">
        <v>23536.568397308198</v>
      </c>
      <c r="F19" s="5">
        <v>1973106.2</v>
      </c>
      <c r="G19" s="5">
        <v>33479.20625453241</v>
      </c>
      <c r="H19" s="5">
        <v>4707.313679461639</v>
      </c>
    </row>
    <row r="20" spans="1:8" ht="12.75">
      <c r="A20" s="11">
        <v>1556</v>
      </c>
      <c r="B20" s="11">
        <v>1560</v>
      </c>
      <c r="C20" s="2">
        <v>7998998.5</v>
      </c>
      <c r="D20" s="15">
        <v>135725.14272733792</v>
      </c>
      <c r="E20" s="15">
        <v>19083.511602691804</v>
      </c>
      <c r="F20" s="5">
        <v>1599799.7</v>
      </c>
      <c r="G20" s="5">
        <v>27145.028545467583</v>
      </c>
      <c r="H20" s="5">
        <v>3816.7023205383607</v>
      </c>
    </row>
    <row r="21" spans="1:8" ht="12.75">
      <c r="A21" s="11">
        <v>1561</v>
      </c>
      <c r="B21" s="11">
        <v>1565</v>
      </c>
      <c r="C21" s="2">
        <v>11207535.5</v>
      </c>
      <c r="D21" s="15">
        <v>416869.5878872737</v>
      </c>
      <c r="E21" s="15">
        <v>5098.2164524938535</v>
      </c>
      <c r="F21" s="5">
        <v>2241507.1</v>
      </c>
      <c r="G21" s="5">
        <v>83373.91757745473</v>
      </c>
      <c r="H21" s="5">
        <v>1019.6432904987707</v>
      </c>
    </row>
    <row r="22" spans="1:8" ht="12.75">
      <c r="A22" s="11">
        <v>1566</v>
      </c>
      <c r="B22" s="11">
        <v>1570</v>
      </c>
      <c r="C22" s="2">
        <v>14141215.5</v>
      </c>
      <c r="D22" s="15">
        <v>525989.2041127264</v>
      </c>
      <c r="E22" s="15">
        <v>6432.723547506147</v>
      </c>
      <c r="F22" s="5">
        <v>2828243.1</v>
      </c>
      <c r="G22" s="5">
        <v>105197.84082254527</v>
      </c>
      <c r="H22" s="5">
        <v>1286.5447095012294</v>
      </c>
    </row>
    <row r="23" spans="1:8" ht="12.75">
      <c r="A23" s="11">
        <v>1571</v>
      </c>
      <c r="B23" s="11">
        <v>1575</v>
      </c>
      <c r="C23" s="2">
        <v>11906609</v>
      </c>
      <c r="D23" s="15">
        <v>456766.0952559021</v>
      </c>
      <c r="E23" s="15">
        <v>3850.297191947473</v>
      </c>
      <c r="F23" s="5">
        <v>2381321.8</v>
      </c>
      <c r="G23" s="5">
        <v>91353.21905118042</v>
      </c>
      <c r="H23" s="5">
        <v>770.0594383894946</v>
      </c>
    </row>
    <row r="24" spans="1:8" ht="12.75">
      <c r="A24" s="11">
        <v>1576</v>
      </c>
      <c r="B24" s="11">
        <v>1580</v>
      </c>
      <c r="C24" s="2">
        <v>17251941</v>
      </c>
      <c r="D24" s="15">
        <v>661825.8587440978</v>
      </c>
      <c r="E24" s="15">
        <v>5578.8428080525255</v>
      </c>
      <c r="F24" s="5">
        <v>3450388.2</v>
      </c>
      <c r="G24" s="5">
        <v>132365.17174881956</v>
      </c>
      <c r="H24" s="5">
        <v>1115.768561610505</v>
      </c>
    </row>
    <row r="25" spans="1:8" ht="12.75">
      <c r="A25" s="11">
        <v>1581</v>
      </c>
      <c r="B25" s="11">
        <v>1585</v>
      </c>
      <c r="C25" s="2">
        <v>29374612</v>
      </c>
      <c r="D25" s="15">
        <v>1161037.8491167186</v>
      </c>
      <c r="E25" s="15">
        <v>6681.069279427514</v>
      </c>
      <c r="F25" s="5">
        <v>5874922.4</v>
      </c>
      <c r="G25" s="5">
        <v>232207.5698233437</v>
      </c>
      <c r="H25" s="5">
        <v>1336.2138558855027</v>
      </c>
    </row>
    <row r="26" spans="1:8" ht="12.75">
      <c r="A26" s="11">
        <v>1586</v>
      </c>
      <c r="B26" s="11">
        <v>1590</v>
      </c>
      <c r="C26" s="2">
        <v>23832630.5</v>
      </c>
      <c r="D26" s="15">
        <v>941989.8398832812</v>
      </c>
      <c r="E26" s="15">
        <v>5420.580720572486</v>
      </c>
      <c r="F26" s="5">
        <v>4766526.1</v>
      </c>
      <c r="G26" s="5">
        <v>188397.96797665622</v>
      </c>
      <c r="H26" s="5">
        <v>1084.1161441144973</v>
      </c>
    </row>
    <row r="27" spans="1:8" ht="12.75">
      <c r="A27" s="11">
        <v>1591</v>
      </c>
      <c r="B27" s="11">
        <v>1595</v>
      </c>
      <c r="C27" s="2">
        <v>35184862.5</v>
      </c>
      <c r="D27" s="15">
        <v>1368522.6942567392</v>
      </c>
      <c r="E27" s="15">
        <v>9831.381628980487</v>
      </c>
      <c r="F27" s="5">
        <v>7036972.5</v>
      </c>
      <c r="G27" s="5">
        <v>273704.53885134787</v>
      </c>
      <c r="H27" s="5">
        <v>1966.2763257960974</v>
      </c>
    </row>
    <row r="28" spans="1:8" ht="12.75">
      <c r="A28" s="11">
        <v>1596</v>
      </c>
      <c r="B28" s="11">
        <v>1600</v>
      </c>
      <c r="C28" s="2">
        <v>34428500.5</v>
      </c>
      <c r="D28" s="15">
        <v>1339103.833743261</v>
      </c>
      <c r="E28" s="15">
        <v>9620.038371019511</v>
      </c>
      <c r="F28" s="5">
        <v>6885700.1</v>
      </c>
      <c r="G28" s="5">
        <v>267820.7667486522</v>
      </c>
      <c r="H28" s="5">
        <v>1924.0076742039023</v>
      </c>
    </row>
    <row r="29" spans="1:8" ht="12.75">
      <c r="A29" s="11">
        <v>1601</v>
      </c>
      <c r="B29" s="11">
        <v>1605</v>
      </c>
      <c r="C29" s="2">
        <v>24403328</v>
      </c>
      <c r="D29" s="15">
        <v>967951.7540244223</v>
      </c>
      <c r="E29" s="15">
        <v>5144.068857774532</v>
      </c>
      <c r="F29" s="5">
        <v>4880665.6</v>
      </c>
      <c r="G29" s="5">
        <v>193590.35080488445</v>
      </c>
      <c r="H29" s="5">
        <v>1028.8137715549065</v>
      </c>
    </row>
    <row r="30" spans="1:8" ht="12.75">
      <c r="A30" s="11">
        <v>1606</v>
      </c>
      <c r="B30" s="11">
        <v>1610</v>
      </c>
      <c r="C30" s="2">
        <v>31405207</v>
      </c>
      <c r="D30" s="15">
        <v>1245679.4909755778</v>
      </c>
      <c r="E30" s="15">
        <v>6620.021142225468</v>
      </c>
      <c r="F30" s="5">
        <v>6281041.4</v>
      </c>
      <c r="G30" s="5">
        <v>249135.89819511556</v>
      </c>
      <c r="H30" s="5">
        <v>1324.0042284450935</v>
      </c>
    </row>
    <row r="31" spans="1:8" ht="12.75">
      <c r="A31" s="11">
        <v>1611</v>
      </c>
      <c r="B31" s="11">
        <v>1615</v>
      </c>
      <c r="C31" s="2">
        <v>24528120.5</v>
      </c>
      <c r="D31" s="15">
        <v>984102.2674191969</v>
      </c>
      <c r="E31" s="15">
        <v>3975.425617243763</v>
      </c>
      <c r="F31" s="5">
        <v>4905624.1</v>
      </c>
      <c r="G31" s="5">
        <v>196820.45348383937</v>
      </c>
      <c r="H31" s="5">
        <v>795.0851234487526</v>
      </c>
    </row>
    <row r="32" spans="1:8" ht="12.75">
      <c r="A32" s="11">
        <v>1616</v>
      </c>
      <c r="B32" s="11">
        <v>1620</v>
      </c>
      <c r="C32" s="2">
        <v>30112460</v>
      </c>
      <c r="D32" s="15">
        <v>1208153.725580803</v>
      </c>
      <c r="E32" s="15">
        <v>4880.514382756238</v>
      </c>
      <c r="F32" s="5">
        <v>6022492</v>
      </c>
      <c r="G32" s="5">
        <v>241630.74511616057</v>
      </c>
      <c r="H32" s="5">
        <v>976.1028765512476</v>
      </c>
    </row>
    <row r="33" spans="1:8" ht="12.75">
      <c r="A33" s="11">
        <v>1621</v>
      </c>
      <c r="B33" s="11">
        <v>1625</v>
      </c>
      <c r="C33" s="2">
        <v>27010678.5</v>
      </c>
      <c r="D33" s="15">
        <v>1115112.7598548045</v>
      </c>
      <c r="E33" s="15">
        <v>2021.834741191919</v>
      </c>
      <c r="F33" s="5">
        <v>5402135.7</v>
      </c>
      <c r="G33" s="5">
        <v>223022.5519709609</v>
      </c>
      <c r="H33" s="5">
        <v>404.36694823838377</v>
      </c>
    </row>
    <row r="34" spans="1:8" ht="12.75">
      <c r="A34" s="11">
        <v>1626</v>
      </c>
      <c r="B34" s="11">
        <v>1630</v>
      </c>
      <c r="C34" s="2">
        <v>24954526.5</v>
      </c>
      <c r="D34" s="15">
        <v>1030226.2831451958</v>
      </c>
      <c r="E34" s="15">
        <v>1867.9252588080815</v>
      </c>
      <c r="F34" s="5">
        <v>4990905.3</v>
      </c>
      <c r="G34" s="5">
        <v>206045.25662903916</v>
      </c>
      <c r="H34" s="5">
        <v>373.5850517616163</v>
      </c>
    </row>
    <row r="35" spans="1:8" ht="12.75">
      <c r="A35" s="11">
        <v>1631</v>
      </c>
      <c r="B35" s="11">
        <v>1635</v>
      </c>
      <c r="C35" s="2">
        <v>17110854</v>
      </c>
      <c r="D35" s="15">
        <v>715016.4080344416</v>
      </c>
      <c r="E35" s="15">
        <v>634.9742334584755</v>
      </c>
      <c r="F35" s="5">
        <v>3422170.8</v>
      </c>
      <c r="G35" s="5">
        <v>143003.28160688834</v>
      </c>
      <c r="H35" s="5">
        <v>126.9948466916951</v>
      </c>
    </row>
    <row r="36" spans="1:8" ht="12.75">
      <c r="A36" s="11">
        <v>1636</v>
      </c>
      <c r="B36" s="11">
        <v>1640</v>
      </c>
      <c r="C36" s="2">
        <v>16314602</v>
      </c>
      <c r="D36" s="15">
        <v>681743.1859655584</v>
      </c>
      <c r="E36" s="15">
        <v>605.4257665415246</v>
      </c>
      <c r="F36" s="5">
        <v>3262920.4</v>
      </c>
      <c r="G36" s="5">
        <v>136348.63719311167</v>
      </c>
      <c r="H36" s="5">
        <v>121.08515330830491</v>
      </c>
    </row>
    <row r="37" spans="1:8" ht="12.75">
      <c r="A37" s="11">
        <v>1641</v>
      </c>
      <c r="B37" s="11">
        <v>1645</v>
      </c>
      <c r="C37" s="2">
        <v>13763802.5</v>
      </c>
      <c r="D37" s="15">
        <v>569448.897490348</v>
      </c>
      <c r="E37" s="15">
        <v>835.1690320317344</v>
      </c>
      <c r="F37" s="5">
        <v>2752760.5</v>
      </c>
      <c r="G37" s="5">
        <v>113889.77949806959</v>
      </c>
      <c r="H37" s="5">
        <v>167.03380640634688</v>
      </c>
    </row>
    <row r="38" spans="1:8" ht="12.75">
      <c r="A38" s="11">
        <v>1646</v>
      </c>
      <c r="B38" s="11">
        <v>1650</v>
      </c>
      <c r="C38" s="2">
        <v>11770547</v>
      </c>
      <c r="D38" s="15">
        <v>486982.06850965216</v>
      </c>
      <c r="E38" s="15">
        <v>714.2209679682657</v>
      </c>
      <c r="F38" s="5">
        <v>2354109.4</v>
      </c>
      <c r="G38" s="5">
        <v>97396.41370193043</v>
      </c>
      <c r="H38" s="5">
        <v>142.84419359365313</v>
      </c>
    </row>
    <row r="39" spans="1:8" ht="12.75">
      <c r="A39" s="11">
        <v>1651</v>
      </c>
      <c r="B39" s="11">
        <v>1655</v>
      </c>
      <c r="C39" s="2">
        <v>7293767</v>
      </c>
      <c r="D39" s="15">
        <v>303429.90340332536</v>
      </c>
      <c r="E39" s="15">
        <v>321.34686072887246</v>
      </c>
      <c r="F39" s="5">
        <v>1458753.4</v>
      </c>
      <c r="G39" s="5">
        <v>60685.980680665074</v>
      </c>
      <c r="H39" s="5">
        <v>64.2693721457745</v>
      </c>
    </row>
    <row r="40" spans="1:8" ht="12.75">
      <c r="A40" s="11">
        <v>1656</v>
      </c>
      <c r="B40" s="11">
        <v>1660</v>
      </c>
      <c r="C40" s="2">
        <v>3361115.5</v>
      </c>
      <c r="D40" s="15">
        <v>139826.64259667462</v>
      </c>
      <c r="E40" s="15">
        <v>148.08313927112758</v>
      </c>
      <c r="F40" s="5">
        <v>672223.1</v>
      </c>
      <c r="G40" s="5">
        <v>27965.328519334922</v>
      </c>
      <c r="H40" s="5">
        <v>29.616627854225516</v>
      </c>
    </row>
    <row r="42" spans="1:8" ht="12.75">
      <c r="A42" s="1" t="s">
        <v>564</v>
      </c>
      <c r="C42" s="5">
        <f>SUM(C9:C41)</f>
        <v>447820932.3</v>
      </c>
      <c r="D42" s="5">
        <f>SUM(D9:D41)</f>
        <v>16886815.302999996</v>
      </c>
      <c r="E42" s="5">
        <f>SUM(E9:E41)</f>
        <v>181333.18</v>
      </c>
      <c r="F42" s="5">
        <f>SUM(F10:F41)*5+(F9*3)</f>
        <v>447820932.3</v>
      </c>
      <c r="G42" s="5">
        <f>SUM(G9:G41)*5</f>
        <v>16886815.303000003</v>
      </c>
      <c r="H42" s="5">
        <f>SUM(H10:H41)*5+(H9*3)</f>
        <v>181333.17999999993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27"/>
  </sheetPr>
  <dimension ref="A1:F45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8.421875" style="0" customWidth="1"/>
    <col min="2" max="4" width="17.00390625" style="0" customWidth="1"/>
    <col min="5" max="5" width="14.28125" style="0" customWidth="1"/>
    <col min="6" max="6" width="13.28125" style="0" customWidth="1"/>
  </cols>
  <sheetData>
    <row r="1" ht="12.75">
      <c r="B1" s="1" t="s">
        <v>321</v>
      </c>
    </row>
    <row r="2" ht="12.75">
      <c r="B2" s="1" t="s">
        <v>342</v>
      </c>
    </row>
    <row r="3" ht="12.75">
      <c r="B3" s="1" t="s">
        <v>498</v>
      </c>
    </row>
    <row r="5" spans="1:6" ht="12.75">
      <c r="A5" s="11" t="s">
        <v>576</v>
      </c>
      <c r="B5" s="4" t="s">
        <v>493</v>
      </c>
      <c r="C5" s="4" t="s">
        <v>490</v>
      </c>
      <c r="D5" s="4" t="s">
        <v>554</v>
      </c>
      <c r="E5" s="4" t="s">
        <v>427</v>
      </c>
      <c r="F5" s="4" t="s">
        <v>427</v>
      </c>
    </row>
    <row r="6" spans="1:6" ht="12.75">
      <c r="A6" s="11" t="s">
        <v>242</v>
      </c>
      <c r="B6" s="4" t="s">
        <v>432</v>
      </c>
      <c r="C6" s="4" t="s">
        <v>432</v>
      </c>
      <c r="D6" s="4" t="s">
        <v>432</v>
      </c>
      <c r="E6" s="4" t="s">
        <v>516</v>
      </c>
      <c r="F6" s="4" t="s">
        <v>312</v>
      </c>
    </row>
    <row r="7" spans="1:6" ht="12.75">
      <c r="A7" s="11"/>
      <c r="B7" s="4" t="s">
        <v>462</v>
      </c>
      <c r="C7" s="4" t="s">
        <v>462</v>
      </c>
      <c r="D7" s="4" t="s">
        <v>462</v>
      </c>
      <c r="E7" s="4" t="s">
        <v>334</v>
      </c>
      <c r="F7" s="4" t="s">
        <v>329</v>
      </c>
    </row>
    <row r="8" spans="1:6" ht="12.75">
      <c r="A8" s="11"/>
      <c r="B8" s="5"/>
      <c r="C8" s="5"/>
      <c r="D8" s="5"/>
      <c r="E8" s="4" t="s">
        <v>470</v>
      </c>
      <c r="F8" s="5"/>
    </row>
    <row r="9" spans="1:6" ht="12.75">
      <c r="A9" s="11"/>
      <c r="B9" s="5"/>
      <c r="C9" s="5"/>
      <c r="D9" s="5"/>
      <c r="E9" s="5"/>
      <c r="F9" s="5"/>
    </row>
    <row r="10" spans="1:6" ht="12.75">
      <c r="A10" s="11" t="s">
        <v>38</v>
      </c>
      <c r="B10" s="5">
        <v>32405.5</v>
      </c>
      <c r="C10" s="5">
        <v>91279.6</v>
      </c>
      <c r="D10" s="5">
        <v>123685.1</v>
      </c>
      <c r="E10" s="5"/>
      <c r="F10" s="5">
        <v>517.2433472698118</v>
      </c>
    </row>
    <row r="11" spans="1:6" ht="12.75">
      <c r="A11" s="11" t="s">
        <v>40</v>
      </c>
      <c r="B11" s="5">
        <v>42770.8</v>
      </c>
      <c r="C11" s="5">
        <v>120476.5</v>
      </c>
      <c r="D11" s="5">
        <v>163247.3</v>
      </c>
      <c r="E11" s="5"/>
      <c r="F11" s="5">
        <v>682.6899916381129</v>
      </c>
    </row>
    <row r="12" spans="1:6" ht="12.75">
      <c r="A12" s="11" t="s">
        <v>43</v>
      </c>
      <c r="B12" s="5">
        <v>62647</v>
      </c>
      <c r="C12" s="5">
        <v>176463.7</v>
      </c>
      <c r="D12" s="5">
        <v>239110.7</v>
      </c>
      <c r="E12" s="5"/>
      <c r="F12" s="5">
        <v>999.9464723947458</v>
      </c>
    </row>
    <row r="13" spans="1:6" ht="12.75">
      <c r="A13" s="11" t="s">
        <v>47</v>
      </c>
      <c r="B13" s="5">
        <v>52043.5</v>
      </c>
      <c r="C13" s="5">
        <v>146595.8</v>
      </c>
      <c r="D13" s="5">
        <v>198639.3</v>
      </c>
      <c r="E13" s="5"/>
      <c r="F13" s="5">
        <v>830.6975276052541</v>
      </c>
    </row>
    <row r="14" spans="1:6" ht="12.75">
      <c r="A14" s="11" t="s">
        <v>50</v>
      </c>
      <c r="B14" s="5">
        <v>7030.5</v>
      </c>
      <c r="C14" s="5">
        <v>19803.5</v>
      </c>
      <c r="D14" s="5">
        <v>26834</v>
      </c>
      <c r="E14" s="5">
        <v>3.4037510657876</v>
      </c>
      <c r="F14" s="5">
        <v>111.8812762502697</v>
      </c>
    </row>
    <row r="15" spans="1:6" ht="12.75">
      <c r="A15" s="11" t="s">
        <v>53</v>
      </c>
      <c r="B15" s="5">
        <v>54414.1</v>
      </c>
      <c r="C15" s="5">
        <v>153273.3</v>
      </c>
      <c r="D15" s="5">
        <v>207687.4</v>
      </c>
      <c r="E15" s="5">
        <v>26.344048934212402</v>
      </c>
      <c r="F15" s="5">
        <v>865.9287237497304</v>
      </c>
    </row>
    <row r="16" spans="1:6" ht="12.75">
      <c r="A16" s="11" t="s">
        <v>56</v>
      </c>
      <c r="B16" s="5">
        <v>86472.1</v>
      </c>
      <c r="C16" s="5">
        <v>243574.1</v>
      </c>
      <c r="D16" s="5">
        <v>330046.2</v>
      </c>
      <c r="E16" s="5">
        <v>5090.79009840535</v>
      </c>
      <c r="F16" s="5">
        <v>854.4133953085857</v>
      </c>
    </row>
    <row r="17" spans="1:6" ht="12.75">
      <c r="A17" s="11" t="s">
        <v>60</v>
      </c>
      <c r="B17" s="5">
        <v>270177</v>
      </c>
      <c r="C17" s="5">
        <v>517401.4</v>
      </c>
      <c r="D17" s="5">
        <v>787578.4</v>
      </c>
      <c r="E17" s="5">
        <v>12147.98510159465</v>
      </c>
      <c r="F17" s="5">
        <v>2038.8586046914145</v>
      </c>
    </row>
    <row r="18" spans="1:6" ht="12.75">
      <c r="A18" s="11" t="s">
        <v>63</v>
      </c>
      <c r="B18" s="5">
        <v>151557.7</v>
      </c>
      <c r="C18" s="5">
        <v>839243.3</v>
      </c>
      <c r="D18" s="5">
        <v>990801</v>
      </c>
      <c r="E18" s="5">
        <v>16815.869652235993</v>
      </c>
      <c r="F18" s="5">
        <v>2363.396785416903</v>
      </c>
    </row>
    <row r="19" spans="1:6" ht="12.75">
      <c r="A19" s="11" t="s">
        <v>66</v>
      </c>
      <c r="B19" s="5">
        <v>318534.3</v>
      </c>
      <c r="C19" s="5">
        <v>783207.9</v>
      </c>
      <c r="D19" s="5">
        <v>1101742.2</v>
      </c>
      <c r="E19" s="5">
        <v>18698.763147764002</v>
      </c>
      <c r="F19" s="5">
        <v>2628.0292145830967</v>
      </c>
    </row>
    <row r="20" spans="1:6" ht="12.75">
      <c r="A20" s="11" t="s">
        <v>67</v>
      </c>
      <c r="B20" s="5">
        <v>725701.3</v>
      </c>
      <c r="C20" s="5">
        <v>1247404.9</v>
      </c>
      <c r="D20" s="5">
        <v>1973106.2</v>
      </c>
      <c r="E20" s="5">
        <v>33479.20625453241</v>
      </c>
      <c r="F20" s="5">
        <v>4707.313679461639</v>
      </c>
    </row>
    <row r="21" spans="1:6" ht="12.75">
      <c r="A21" s="11" t="s">
        <v>69</v>
      </c>
      <c r="B21" s="5">
        <v>313699.1</v>
      </c>
      <c r="C21" s="5">
        <v>1286100.6</v>
      </c>
      <c r="D21" s="5">
        <v>1599799.7</v>
      </c>
      <c r="E21" s="5">
        <v>27145.028545467583</v>
      </c>
      <c r="F21" s="5">
        <v>3816.7023205383607</v>
      </c>
    </row>
    <row r="22" spans="1:6" ht="12.75">
      <c r="A22" s="11" t="s">
        <v>70</v>
      </c>
      <c r="B22" s="5">
        <v>363906.6</v>
      </c>
      <c r="C22" s="5">
        <v>1877600.5</v>
      </c>
      <c r="D22" s="5">
        <v>2241507.1</v>
      </c>
      <c r="E22" s="5">
        <v>83373.91757745473</v>
      </c>
      <c r="F22" s="5">
        <v>1019.6432904987707</v>
      </c>
    </row>
    <row r="23" spans="1:6" ht="12.75">
      <c r="A23" s="11" t="s">
        <v>72</v>
      </c>
      <c r="B23" s="5">
        <v>756948.6</v>
      </c>
      <c r="C23" s="5">
        <v>2071294.5</v>
      </c>
      <c r="D23" s="5">
        <v>2828243.1</v>
      </c>
      <c r="E23" s="5">
        <v>105197.84082254527</v>
      </c>
      <c r="F23" s="5">
        <v>1286.5447095012294</v>
      </c>
    </row>
    <row r="24" spans="1:6" ht="12.75">
      <c r="A24" s="11" t="s">
        <v>73</v>
      </c>
      <c r="B24" s="5">
        <v>659732.1</v>
      </c>
      <c r="C24" s="5">
        <v>1721589.7</v>
      </c>
      <c r="D24" s="5">
        <v>2381321.8</v>
      </c>
      <c r="E24" s="5">
        <v>91353.21905118042</v>
      </c>
      <c r="F24" s="5">
        <v>770.0594383894946</v>
      </c>
    </row>
    <row r="25" spans="1:6" ht="12.75">
      <c r="A25" s="11" t="s">
        <v>75</v>
      </c>
      <c r="B25" s="5">
        <v>1329935.7</v>
      </c>
      <c r="C25" s="5">
        <v>2120452.5</v>
      </c>
      <c r="D25" s="5">
        <v>3450388.2</v>
      </c>
      <c r="E25" s="5">
        <v>132365.17174881956</v>
      </c>
      <c r="F25" s="5">
        <v>1115.768561610505</v>
      </c>
    </row>
    <row r="26" spans="1:6" ht="12.75">
      <c r="A26" s="11" t="s">
        <v>76</v>
      </c>
      <c r="B26" s="5">
        <v>1510120.8</v>
      </c>
      <c r="C26" s="5">
        <v>4364801.6</v>
      </c>
      <c r="D26" s="5">
        <v>5874922.4</v>
      </c>
      <c r="E26" s="5">
        <v>232207.5698233437</v>
      </c>
      <c r="F26" s="5">
        <v>1336.2138558855027</v>
      </c>
    </row>
    <row r="27" spans="1:6" ht="12.75">
      <c r="A27" s="11" t="s">
        <v>78</v>
      </c>
      <c r="B27" s="5">
        <v>1608642.5</v>
      </c>
      <c r="C27" s="5">
        <v>3157883.6</v>
      </c>
      <c r="D27" s="5">
        <v>4766526.1</v>
      </c>
      <c r="E27" s="5">
        <v>188397.96797665622</v>
      </c>
      <c r="F27" s="5">
        <v>1084.1161441144973</v>
      </c>
    </row>
    <row r="28" spans="1:6" ht="12.75">
      <c r="A28" s="11" t="s">
        <v>82</v>
      </c>
      <c r="B28" s="5">
        <v>2004669.7</v>
      </c>
      <c r="C28" s="5">
        <v>5032302.8</v>
      </c>
      <c r="D28" s="5">
        <v>7036972.5</v>
      </c>
      <c r="E28" s="5">
        <v>273704.53885134787</v>
      </c>
      <c r="F28" s="5">
        <v>1966.2763257960974</v>
      </c>
    </row>
    <row r="29" spans="1:6" ht="12.75">
      <c r="A29" s="11" t="s">
        <v>83</v>
      </c>
      <c r="B29" s="5">
        <v>2194863.6</v>
      </c>
      <c r="C29" s="5">
        <v>4690836.5</v>
      </c>
      <c r="D29" s="5">
        <v>6885700.1</v>
      </c>
      <c r="E29" s="5">
        <v>267820.7667486522</v>
      </c>
      <c r="F29" s="5">
        <v>1924.0076742039023</v>
      </c>
    </row>
    <row r="30" spans="1:6" ht="12.75">
      <c r="A30" s="11" t="s">
        <v>86</v>
      </c>
      <c r="B30" s="5">
        <v>1303977.1</v>
      </c>
      <c r="C30" s="5">
        <v>3576688.5</v>
      </c>
      <c r="D30" s="5">
        <v>4880665.6</v>
      </c>
      <c r="E30" s="5">
        <v>193590.35080488445</v>
      </c>
      <c r="F30" s="5">
        <v>1028.8137715549065</v>
      </c>
    </row>
    <row r="31" spans="1:6" ht="12.75">
      <c r="A31" s="11" t="s">
        <v>88</v>
      </c>
      <c r="B31" s="5">
        <v>1709935.8</v>
      </c>
      <c r="C31" s="5">
        <v>4571105.6</v>
      </c>
      <c r="D31" s="5">
        <v>6281041.4</v>
      </c>
      <c r="E31" s="5">
        <v>249135.89819511556</v>
      </c>
      <c r="F31" s="5">
        <v>1324.0042284450935</v>
      </c>
    </row>
    <row r="32" spans="1:6" ht="12.75">
      <c r="A32" s="11" t="s">
        <v>89</v>
      </c>
      <c r="B32" s="5">
        <v>1442584.3</v>
      </c>
      <c r="C32" s="5">
        <v>3463039.8</v>
      </c>
      <c r="D32" s="5">
        <v>4905624.1</v>
      </c>
      <c r="E32" s="5">
        <v>196820.45348383937</v>
      </c>
      <c r="F32" s="5">
        <v>795.0851234487526</v>
      </c>
    </row>
    <row r="33" spans="1:6" ht="12.75">
      <c r="A33" s="11" t="s">
        <v>91</v>
      </c>
      <c r="B33" s="5">
        <v>869557.6</v>
      </c>
      <c r="C33" s="5">
        <v>5152934.4</v>
      </c>
      <c r="D33" s="5">
        <v>6022492</v>
      </c>
      <c r="E33" s="5">
        <v>241630.74511616057</v>
      </c>
      <c r="F33" s="5">
        <v>976.1028765512476</v>
      </c>
    </row>
    <row r="34" spans="1:6" ht="12.75">
      <c r="A34" s="11" t="s">
        <v>92</v>
      </c>
      <c r="B34" s="5">
        <v>978231.2</v>
      </c>
      <c r="C34" s="5">
        <v>4423904.5</v>
      </c>
      <c r="D34" s="5">
        <v>5402135.7</v>
      </c>
      <c r="E34" s="5">
        <v>223022.5519709609</v>
      </c>
      <c r="F34" s="5">
        <v>404.36694823838377</v>
      </c>
    </row>
    <row r="35" spans="1:6" ht="12.75">
      <c r="A35" s="11" t="s">
        <v>95</v>
      </c>
      <c r="B35" s="5">
        <v>923760.2</v>
      </c>
      <c r="C35" s="5">
        <v>4067145.1</v>
      </c>
      <c r="D35" s="5">
        <v>4990905.3</v>
      </c>
      <c r="E35" s="5">
        <v>206045.25662903916</v>
      </c>
      <c r="F35" s="5">
        <v>373.5850517616163</v>
      </c>
    </row>
    <row r="36" spans="1:6" ht="12.75">
      <c r="A36" s="11" t="s">
        <v>96</v>
      </c>
      <c r="B36" s="5">
        <v>946764.9</v>
      </c>
      <c r="C36" s="5">
        <v>2475405.9</v>
      </c>
      <c r="D36" s="5">
        <v>3422170.8</v>
      </c>
      <c r="E36" s="5">
        <v>143003.28160688834</v>
      </c>
      <c r="F36" s="5">
        <v>126.9948466916951</v>
      </c>
    </row>
    <row r="37" spans="1:6" ht="12.75">
      <c r="A37" s="11" t="s">
        <v>98</v>
      </c>
      <c r="B37" s="5">
        <v>938260.6</v>
      </c>
      <c r="C37" s="5">
        <v>2324659.8</v>
      </c>
      <c r="D37" s="5">
        <v>3262920.4</v>
      </c>
      <c r="E37" s="5">
        <v>136348.63719311167</v>
      </c>
      <c r="F37" s="5">
        <v>121.08515330830491</v>
      </c>
    </row>
    <row r="38" spans="1:6" ht="12.75">
      <c r="A38" s="11" t="s">
        <v>99</v>
      </c>
      <c r="B38" s="5">
        <v>928732.4</v>
      </c>
      <c r="C38" s="5">
        <v>1824028.1</v>
      </c>
      <c r="D38" s="5">
        <v>2752760.5</v>
      </c>
      <c r="E38" s="5">
        <v>113889.77949806959</v>
      </c>
      <c r="F38" s="5">
        <v>167.03380640634688</v>
      </c>
    </row>
    <row r="39" spans="1:6" ht="12.75">
      <c r="A39" s="11" t="s">
        <v>101</v>
      </c>
      <c r="B39" s="5">
        <v>333022.5</v>
      </c>
      <c r="C39" s="5">
        <v>2021086.9</v>
      </c>
      <c r="D39" s="5">
        <v>2354109.4</v>
      </c>
      <c r="E39" s="5">
        <v>97396.41370193043</v>
      </c>
      <c r="F39" s="5">
        <v>142.84419359365313</v>
      </c>
    </row>
    <row r="40" spans="1:6" ht="12.75">
      <c r="A40" s="11" t="s">
        <v>103</v>
      </c>
      <c r="B40" s="5">
        <v>447775.6</v>
      </c>
      <c r="C40" s="5">
        <v>1010977.8</v>
      </c>
      <c r="D40" s="5">
        <v>1458753.4</v>
      </c>
      <c r="E40" s="5">
        <v>60685.980680665074</v>
      </c>
      <c r="F40" s="5">
        <v>64.2693721457745</v>
      </c>
    </row>
    <row r="41" spans="1:6" ht="12.75">
      <c r="A41" s="11" t="s">
        <v>105</v>
      </c>
      <c r="B41" s="5">
        <v>121304.8</v>
      </c>
      <c r="C41" s="5">
        <v>550918.3</v>
      </c>
      <c r="D41" s="5">
        <v>672223.1</v>
      </c>
      <c r="E41" s="5">
        <v>27965.328519334922</v>
      </c>
      <c r="F41" s="5">
        <v>29.616627854225516</v>
      </c>
    </row>
    <row r="42" spans="1:6" ht="12.75">
      <c r="A42" s="11"/>
      <c r="B42" s="5"/>
      <c r="C42" s="5"/>
      <c r="D42" s="5"/>
      <c r="E42" s="5"/>
      <c r="F42" s="5"/>
    </row>
    <row r="43" spans="1:6" ht="12.75">
      <c r="A43" s="11"/>
      <c r="B43" s="5">
        <f>SUM(B14:B42)*5</f>
        <v>116501563.5</v>
      </c>
      <c r="C43" s="5">
        <f>SUM(C14:C42)*5</f>
        <v>327943326.99999994</v>
      </c>
      <c r="D43" s="5">
        <f>SUM(D14:D42)*5</f>
        <v>444444890.50000006</v>
      </c>
      <c r="E43" s="5">
        <f>SUM(E14:E42)*5</f>
        <v>16886815.303000003</v>
      </c>
      <c r="F43" s="5">
        <f>SUM(F14:F42)*5</f>
        <v>167214.77999999997</v>
      </c>
    </row>
    <row r="44" spans="4:6" ht="12.75">
      <c r="D44" s="5">
        <f>B43+C43</f>
        <v>444444890.49999994</v>
      </c>
      <c r="E44" s="5"/>
      <c r="F44" s="5"/>
    </row>
    <row r="45" spans="5:6" ht="12.75">
      <c r="E45" s="5"/>
      <c r="F45" s="5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6"/>
  </sheetPr>
  <dimension ref="A1:H37"/>
  <sheetViews>
    <sheetView zoomScale="90" zoomScaleNormal="90" zoomScalePageLayoutView="0" workbookViewId="0" topLeftCell="A1">
      <selection activeCell="A15" sqref="A15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3" width="14.7109375" style="0" customWidth="1"/>
    <col min="4" max="4" width="12.28125" style="0" customWidth="1"/>
    <col min="5" max="5" width="10.7109375" style="0" customWidth="1"/>
    <col min="6" max="6" width="8.57421875" style="0" customWidth="1"/>
    <col min="8" max="8" width="16.140625" style="0" customWidth="1"/>
  </cols>
  <sheetData>
    <row r="1" ht="12.75">
      <c r="C1" s="1" t="s">
        <v>287</v>
      </c>
    </row>
    <row r="3" spans="1:8" ht="12.75">
      <c r="A3" s="11"/>
      <c r="B3" s="11"/>
      <c r="C3" s="3" t="s">
        <v>270</v>
      </c>
      <c r="D3" s="4" t="s">
        <v>427</v>
      </c>
      <c r="E3" s="4" t="s">
        <v>427</v>
      </c>
      <c r="F3" s="4" t="s">
        <v>427</v>
      </c>
      <c r="H3" s="1" t="s">
        <v>430</v>
      </c>
    </row>
    <row r="4" spans="1:8" ht="12.75">
      <c r="A4" s="11" t="s">
        <v>575</v>
      </c>
      <c r="B4" s="11" t="s">
        <v>575</v>
      </c>
      <c r="C4" s="3" t="s">
        <v>561</v>
      </c>
      <c r="D4" s="4" t="s">
        <v>552</v>
      </c>
      <c r="E4" s="4" t="s">
        <v>515</v>
      </c>
      <c r="F4" s="4" t="s">
        <v>311</v>
      </c>
      <c r="H4" s="1" t="s">
        <v>492</v>
      </c>
    </row>
    <row r="5" spans="1:8" ht="12.75">
      <c r="A5" s="11" t="s">
        <v>242</v>
      </c>
      <c r="B5" s="11" t="s">
        <v>276</v>
      </c>
      <c r="C5" s="3" t="s">
        <v>200</v>
      </c>
      <c r="D5" s="4" t="s">
        <v>570</v>
      </c>
      <c r="E5" s="4" t="s">
        <v>384</v>
      </c>
      <c r="F5" s="4" t="s">
        <v>384</v>
      </c>
      <c r="H5" s="1" t="s">
        <v>338</v>
      </c>
    </row>
    <row r="7" spans="1:8" ht="12.75">
      <c r="A7" s="11">
        <v>1503</v>
      </c>
      <c r="B7" s="11">
        <v>1510</v>
      </c>
      <c r="C7" s="2">
        <v>1187291.8</v>
      </c>
      <c r="D7" s="5">
        <v>148411.475</v>
      </c>
      <c r="E7" s="5"/>
      <c r="F7" s="5">
        <v>620.6475</v>
      </c>
      <c r="H7" s="5">
        <v>1209.8</v>
      </c>
    </row>
    <row r="8" spans="1:8" ht="12.75">
      <c r="A8" s="11">
        <v>1511</v>
      </c>
      <c r="B8" s="11">
        <v>1520</v>
      </c>
      <c r="C8" s="2">
        <v>2188750</v>
      </c>
      <c r="D8" s="5">
        <v>218875</v>
      </c>
      <c r="E8" s="5"/>
      <c r="F8" s="5">
        <v>915.3219999999999</v>
      </c>
      <c r="H8" s="5">
        <v>1071.1</v>
      </c>
    </row>
    <row r="9" spans="1:8" ht="12.75">
      <c r="A9" s="11">
        <v>1521</v>
      </c>
      <c r="B9" s="11">
        <v>1530</v>
      </c>
      <c r="C9" s="2">
        <v>1172607</v>
      </c>
      <c r="D9" s="5">
        <v>117260.7</v>
      </c>
      <c r="E9" s="5">
        <v>14.8739</v>
      </c>
      <c r="F9" s="5">
        <v>488.905</v>
      </c>
      <c r="H9" s="5">
        <v>576.7</v>
      </c>
    </row>
    <row r="10" spans="1:8" ht="12.75">
      <c r="A10" s="11">
        <v>1531</v>
      </c>
      <c r="B10" s="11">
        <v>1540</v>
      </c>
      <c r="C10" s="2">
        <v>5588123</v>
      </c>
      <c r="D10" s="5">
        <v>558812.3</v>
      </c>
      <c r="E10" s="5">
        <v>8619.3876</v>
      </c>
      <c r="F10" s="5">
        <v>1446.636</v>
      </c>
      <c r="H10" s="5">
        <v>1708</v>
      </c>
    </row>
    <row r="11" spans="1:8" ht="12.75">
      <c r="A11" s="11">
        <v>1541</v>
      </c>
      <c r="B11" s="11">
        <v>1550</v>
      </c>
      <c r="C11" s="2">
        <v>10462716</v>
      </c>
      <c r="D11" s="5">
        <v>1046271.6</v>
      </c>
      <c r="E11" s="5">
        <v>17757.316399999996</v>
      </c>
      <c r="F11" s="5">
        <v>2495.7129999999997</v>
      </c>
      <c r="H11" s="5">
        <v>1345.7</v>
      </c>
    </row>
    <row r="12" spans="1:8" ht="12.75">
      <c r="A12" s="11">
        <v>1551</v>
      </c>
      <c r="B12" s="11">
        <v>1560</v>
      </c>
      <c r="C12" s="2">
        <v>17864529.5</v>
      </c>
      <c r="D12" s="5">
        <v>1786452.95</v>
      </c>
      <c r="E12" s="5">
        <v>30312.117399999996</v>
      </c>
      <c r="F12" s="5">
        <v>4262.008</v>
      </c>
      <c r="H12" s="5">
        <v>1650.5</v>
      </c>
    </row>
    <row r="13" spans="1:8" ht="12.75">
      <c r="A13" s="11">
        <v>1561</v>
      </c>
      <c r="B13" s="11">
        <v>1570</v>
      </c>
      <c r="C13" s="2">
        <v>25348751</v>
      </c>
      <c r="D13" s="5">
        <v>2534875.1</v>
      </c>
      <c r="E13" s="5">
        <v>94285.8792</v>
      </c>
      <c r="F13" s="5">
        <v>1153.094</v>
      </c>
      <c r="H13" s="5">
        <v>1372.7</v>
      </c>
    </row>
    <row r="14" spans="1:8" ht="12.75">
      <c r="A14" s="11">
        <v>1571</v>
      </c>
      <c r="B14" s="11">
        <v>1580</v>
      </c>
      <c r="C14" s="2">
        <v>29158550</v>
      </c>
      <c r="D14" s="5">
        <v>2915855</v>
      </c>
      <c r="E14" s="5">
        <v>111859.1954</v>
      </c>
      <c r="F14" s="5">
        <v>942.9139999999998</v>
      </c>
      <c r="H14" s="5">
        <v>2017.5</v>
      </c>
    </row>
    <row r="15" spans="1:8" ht="12.75">
      <c r="A15" s="11">
        <v>1581</v>
      </c>
      <c r="B15" s="11">
        <v>1590</v>
      </c>
      <c r="C15" s="2">
        <v>53207242.5</v>
      </c>
      <c r="D15" s="5">
        <v>5320724.25</v>
      </c>
      <c r="E15" s="5">
        <v>210302.76889999997</v>
      </c>
      <c r="F15" s="5">
        <v>1210.165</v>
      </c>
      <c r="H15" s="5">
        <v>1580.5</v>
      </c>
    </row>
    <row r="16" spans="1:8" ht="12.75">
      <c r="A16" s="11">
        <v>1591</v>
      </c>
      <c r="B16" s="11">
        <v>1600</v>
      </c>
      <c r="C16" s="2">
        <v>69613363</v>
      </c>
      <c r="D16" s="5">
        <v>6961336.3</v>
      </c>
      <c r="E16" s="5">
        <v>270762.65280000004</v>
      </c>
      <c r="F16" s="5">
        <v>1945.1419999999998</v>
      </c>
      <c r="H16" s="5">
        <v>1844.7</v>
      </c>
    </row>
    <row r="17" spans="1:8" ht="12.75">
      <c r="A17" s="11">
        <v>1601</v>
      </c>
      <c r="B17" s="11">
        <v>1610</v>
      </c>
      <c r="C17" s="2">
        <v>55808535</v>
      </c>
      <c r="D17" s="5">
        <v>5580853.5</v>
      </c>
      <c r="E17" s="5">
        <v>221363.1245</v>
      </c>
      <c r="F17" s="5">
        <v>1176.409</v>
      </c>
      <c r="H17" s="5">
        <v>1978</v>
      </c>
    </row>
    <row r="18" spans="1:8" ht="12.75">
      <c r="A18" s="11">
        <v>1611</v>
      </c>
      <c r="B18" s="11">
        <v>1620</v>
      </c>
      <c r="C18" s="2">
        <v>54640580.5</v>
      </c>
      <c r="D18" s="5">
        <v>5464058.05</v>
      </c>
      <c r="E18" s="5">
        <v>219225.59929999997</v>
      </c>
      <c r="F18" s="5">
        <v>885.594</v>
      </c>
      <c r="H18" s="5">
        <v>1616.2</v>
      </c>
    </row>
    <row r="19" spans="1:8" ht="12.75">
      <c r="A19" s="11">
        <v>1621</v>
      </c>
      <c r="B19" s="11">
        <v>1630</v>
      </c>
      <c r="C19" s="2">
        <v>51965205</v>
      </c>
      <c r="D19" s="5">
        <v>5196520.5</v>
      </c>
      <c r="E19" s="5">
        <v>214533.90430000002</v>
      </c>
      <c r="F19" s="5">
        <v>388.976</v>
      </c>
      <c r="H19" s="5">
        <v>1538.7</v>
      </c>
    </row>
    <row r="20" spans="1:8" ht="12.75">
      <c r="A20" s="11">
        <v>1631</v>
      </c>
      <c r="B20" s="11">
        <v>1640</v>
      </c>
      <c r="C20" s="2">
        <v>33425456</v>
      </c>
      <c r="D20" s="5">
        <v>3342545.5999999996</v>
      </c>
      <c r="E20" s="5">
        <v>139675.9594</v>
      </c>
      <c r="F20" s="5">
        <v>124.04</v>
      </c>
      <c r="H20" s="5">
        <v>812.6</v>
      </c>
    </row>
    <row r="21" spans="1:8" ht="12.75">
      <c r="A21" s="11">
        <v>1641</v>
      </c>
      <c r="B21" s="11">
        <v>1650</v>
      </c>
      <c r="C21" s="2">
        <v>25534349.5</v>
      </c>
      <c r="D21" s="5">
        <v>2553434.95</v>
      </c>
      <c r="E21" s="5">
        <v>105643.09660000002</v>
      </c>
      <c r="F21" s="5">
        <v>154.93900000000002</v>
      </c>
      <c r="H21" s="5">
        <v>1044.3</v>
      </c>
    </row>
    <row r="22" spans="1:8" ht="12.75">
      <c r="A22" s="11" t="s">
        <v>102</v>
      </c>
      <c r="B22" s="11">
        <v>1660</v>
      </c>
      <c r="C22" s="2">
        <v>10654882.5</v>
      </c>
      <c r="D22" s="5">
        <v>1065488.25</v>
      </c>
      <c r="E22" s="5">
        <v>44325.654599999994</v>
      </c>
      <c r="F22" s="5">
        <v>46.943000000000005</v>
      </c>
      <c r="H22" s="5">
        <v>1043.1</v>
      </c>
    </row>
    <row r="23" ht="12.75">
      <c r="H23" s="5"/>
    </row>
    <row r="24" ht="12.75">
      <c r="H24" s="5"/>
    </row>
    <row r="25" ht="12.75">
      <c r="H25" s="5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2" ht="12.75">
      <c r="H32" s="5"/>
    </row>
    <row r="33" ht="12.75">
      <c r="H33" s="5"/>
    </row>
    <row r="34" ht="12.75">
      <c r="H34" s="5"/>
    </row>
    <row r="35" ht="12.75">
      <c r="H35" s="5"/>
    </row>
    <row r="36" ht="12.75">
      <c r="H36" s="5"/>
    </row>
    <row r="37" ht="12.75">
      <c r="H37" s="5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O98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8.57421875" style="0" customWidth="1"/>
    <col min="2" max="2" width="5.57421875" style="0" customWidth="1"/>
    <col min="3" max="3" width="14.8515625" style="0" customWidth="1"/>
    <col min="4" max="5" width="14.8515625" style="1" customWidth="1"/>
    <col min="6" max="6" width="13.8515625" style="4" customWidth="1"/>
    <col min="7" max="7" width="16.8515625" style="0" customWidth="1"/>
    <col min="8" max="8" width="13.28125" style="0" customWidth="1"/>
    <col min="9" max="9" width="14.28125" style="0" customWidth="1"/>
    <col min="10" max="10" width="15.8515625" style="17" customWidth="1"/>
    <col min="11" max="11" width="15.140625" style="19" customWidth="1"/>
    <col min="15" max="15" width="10.57421875" style="0" customWidth="1"/>
  </cols>
  <sheetData>
    <row r="1" spans="1:9" ht="12.75">
      <c r="A1" s="11" t="s">
        <v>534</v>
      </c>
      <c r="C1" s="1" t="s">
        <v>445</v>
      </c>
      <c r="F1" s="1"/>
      <c r="G1" s="5"/>
      <c r="H1" s="5"/>
      <c r="I1" s="5"/>
    </row>
    <row r="2" spans="1:9" ht="12.75">
      <c r="A2" s="11"/>
      <c r="C2" s="1" t="s">
        <v>207</v>
      </c>
      <c r="F2" s="1"/>
      <c r="G2" s="5"/>
      <c r="H2" s="5"/>
      <c r="I2" s="5"/>
    </row>
    <row r="3" spans="1:9" ht="12.75">
      <c r="A3" s="11"/>
      <c r="C3" s="1" t="s">
        <v>344</v>
      </c>
      <c r="F3" s="1"/>
      <c r="G3" s="5"/>
      <c r="H3" s="5"/>
      <c r="I3" s="5"/>
    </row>
    <row r="4" spans="1:9" ht="12.75">
      <c r="A4" s="11"/>
      <c r="B4" s="11"/>
      <c r="G4" s="5"/>
      <c r="H4" s="5"/>
      <c r="I4" s="5"/>
    </row>
    <row r="5" spans="1:11" ht="12.75">
      <c r="A5" s="11"/>
      <c r="B5" s="11"/>
      <c r="C5" s="1" t="s">
        <v>487</v>
      </c>
      <c r="D5" s="1" t="s">
        <v>581</v>
      </c>
      <c r="E5" s="1" t="s">
        <v>525</v>
      </c>
      <c r="F5" s="4" t="s">
        <v>557</v>
      </c>
      <c r="G5" s="4" t="s">
        <v>431</v>
      </c>
      <c r="H5" s="4" t="s">
        <v>429</v>
      </c>
      <c r="I5" s="4" t="s">
        <v>429</v>
      </c>
      <c r="J5" s="18" t="s">
        <v>347</v>
      </c>
      <c r="K5" s="20" t="s">
        <v>346</v>
      </c>
    </row>
    <row r="6" spans="1:11" ht="12.75">
      <c r="A6" s="11" t="s">
        <v>575</v>
      </c>
      <c r="B6" s="11" t="s">
        <v>575</v>
      </c>
      <c r="C6" s="1" t="s">
        <v>519</v>
      </c>
      <c r="D6" s="1" t="s">
        <v>519</v>
      </c>
      <c r="E6" s="1" t="s">
        <v>519</v>
      </c>
      <c r="F6" s="4" t="s">
        <v>518</v>
      </c>
      <c r="G6" s="4" t="s">
        <v>246</v>
      </c>
      <c r="H6" s="4" t="s">
        <v>312</v>
      </c>
      <c r="I6" s="4" t="s">
        <v>516</v>
      </c>
      <c r="J6" s="18" t="s">
        <v>324</v>
      </c>
      <c r="K6" s="20" t="s">
        <v>444</v>
      </c>
    </row>
    <row r="7" spans="1:11" ht="12.75">
      <c r="A7" s="11" t="s">
        <v>242</v>
      </c>
      <c r="B7" s="11" t="s">
        <v>276</v>
      </c>
      <c r="C7" s="1" t="s">
        <v>331</v>
      </c>
      <c r="D7" s="1" t="s">
        <v>331</v>
      </c>
      <c r="E7" s="1" t="s">
        <v>331</v>
      </c>
      <c r="F7" s="4" t="s">
        <v>467</v>
      </c>
      <c r="G7" s="4" t="s">
        <v>325</v>
      </c>
      <c r="H7" s="4" t="s">
        <v>329</v>
      </c>
      <c r="I7" s="4" t="s">
        <v>329</v>
      </c>
      <c r="J7" s="18" t="s">
        <v>81</v>
      </c>
      <c r="K7" s="20" t="s">
        <v>81</v>
      </c>
    </row>
    <row r="8" spans="1:9" ht="12.75">
      <c r="A8" s="11"/>
      <c r="B8" s="11"/>
      <c r="G8" s="5"/>
      <c r="H8" s="5"/>
      <c r="I8" s="5"/>
    </row>
    <row r="9" spans="1:10" ht="12.75">
      <c r="A9" s="11">
        <v>1501</v>
      </c>
      <c r="B9" s="11">
        <v>1505</v>
      </c>
      <c r="G9" s="5">
        <v>123685.1</v>
      </c>
      <c r="H9" s="5">
        <v>517.2433472698118</v>
      </c>
      <c r="I9" s="5">
        <v>0</v>
      </c>
      <c r="J9" s="17">
        <f aca="true" t="shared" si="0" ref="J9:J40">I9/(($I$27+$I$28)/2)*100</f>
        <v>0</v>
      </c>
    </row>
    <row r="10" spans="1:10" ht="12.75">
      <c r="A10" s="11">
        <v>1506</v>
      </c>
      <c r="B10" s="11">
        <v>1510</v>
      </c>
      <c r="G10" s="5">
        <v>163247.3</v>
      </c>
      <c r="H10" s="5">
        <v>682.6899916381129</v>
      </c>
      <c r="I10" s="5">
        <v>0</v>
      </c>
      <c r="J10" s="17">
        <f t="shared" si="0"/>
        <v>0</v>
      </c>
    </row>
    <row r="11" spans="1:10" ht="12.75">
      <c r="A11" s="11">
        <v>1511</v>
      </c>
      <c r="B11" s="11">
        <v>1515</v>
      </c>
      <c r="G11" s="5">
        <v>239110.7</v>
      </c>
      <c r="H11" s="5">
        <v>999.9464723947458</v>
      </c>
      <c r="I11" s="5">
        <v>0</v>
      </c>
      <c r="J11" s="17">
        <f t="shared" si="0"/>
        <v>0</v>
      </c>
    </row>
    <row r="12" spans="1:10" ht="12.75">
      <c r="A12" s="11">
        <v>1516</v>
      </c>
      <c r="B12" s="11">
        <v>1520</v>
      </c>
      <c r="G12" s="5">
        <v>198639.3</v>
      </c>
      <c r="H12" s="5">
        <v>830.6975276052541</v>
      </c>
      <c r="I12" s="5">
        <v>0</v>
      </c>
      <c r="J12" s="17">
        <f t="shared" si="0"/>
        <v>0</v>
      </c>
    </row>
    <row r="13" spans="1:10" ht="12.75">
      <c r="A13" s="11">
        <v>1521</v>
      </c>
      <c r="B13" s="11">
        <v>1525</v>
      </c>
      <c r="G13" s="5">
        <v>26834</v>
      </c>
      <c r="H13" s="5">
        <v>111.8812762502697</v>
      </c>
      <c r="I13" s="5">
        <v>3.4037510657876</v>
      </c>
      <c r="J13" s="17">
        <f t="shared" si="0"/>
        <v>0.0012570976944526375</v>
      </c>
    </row>
    <row r="14" spans="1:10" ht="12.75">
      <c r="A14" s="11">
        <v>1526</v>
      </c>
      <c r="B14" s="11">
        <v>1530</v>
      </c>
      <c r="G14" s="5">
        <v>207687.4</v>
      </c>
      <c r="H14" s="5">
        <v>865.9287237497304</v>
      </c>
      <c r="I14" s="5">
        <v>26.344048934212402</v>
      </c>
      <c r="J14" s="17">
        <f t="shared" si="0"/>
        <v>0.009729572620811758</v>
      </c>
    </row>
    <row r="15" spans="1:10" ht="12.75">
      <c r="A15" s="11">
        <v>1531</v>
      </c>
      <c r="B15" s="11">
        <v>1535</v>
      </c>
      <c r="G15" s="5">
        <v>330046.2</v>
      </c>
      <c r="H15" s="5">
        <v>854.4133953085857</v>
      </c>
      <c r="I15" s="5">
        <v>5090.79009840535</v>
      </c>
      <c r="J15" s="17">
        <f t="shared" si="0"/>
        <v>1.8801670192549353</v>
      </c>
    </row>
    <row r="16" spans="1:10" ht="12.75">
      <c r="A16" s="11">
        <v>1536</v>
      </c>
      <c r="B16" s="11">
        <v>1540</v>
      </c>
      <c r="G16" s="5">
        <v>787578.4</v>
      </c>
      <c r="H16" s="5">
        <v>2038.8586046914145</v>
      </c>
      <c r="I16" s="5">
        <v>12147.98510159465</v>
      </c>
      <c r="J16" s="17">
        <f t="shared" si="0"/>
        <v>4.486580765836937</v>
      </c>
    </row>
    <row r="17" spans="1:10" ht="12.75">
      <c r="A17" s="11">
        <v>1541</v>
      </c>
      <c r="B17" s="11">
        <v>1545</v>
      </c>
      <c r="G17" s="5">
        <v>990801</v>
      </c>
      <c r="H17" s="5">
        <v>2363.396785416903</v>
      </c>
      <c r="I17" s="5">
        <v>16815.869652235993</v>
      </c>
      <c r="J17" s="17">
        <f t="shared" si="0"/>
        <v>6.210557282675579</v>
      </c>
    </row>
    <row r="18" spans="1:10" ht="12.75">
      <c r="A18" s="11">
        <v>1546</v>
      </c>
      <c r="B18" s="11">
        <v>1550</v>
      </c>
      <c r="G18" s="5">
        <v>1101742.2</v>
      </c>
      <c r="H18" s="5">
        <v>2628.0292145830967</v>
      </c>
      <c r="I18" s="5">
        <v>18698.763147764002</v>
      </c>
      <c r="J18" s="17">
        <f t="shared" si="0"/>
        <v>6.905960978885785</v>
      </c>
    </row>
    <row r="19" spans="1:11" ht="12.75">
      <c r="A19" s="11">
        <v>1551</v>
      </c>
      <c r="B19" s="11">
        <v>1555</v>
      </c>
      <c r="C19" s="5">
        <v>64848.88221999999</v>
      </c>
      <c r="F19" s="5">
        <f aca="true" t="shared" si="1" ref="F19:F50">C19+D19+E19</f>
        <v>64848.88221999999</v>
      </c>
      <c r="G19" s="5">
        <v>1973106.2</v>
      </c>
      <c r="H19" s="5">
        <v>4707.313679461639</v>
      </c>
      <c r="I19" s="5">
        <v>33479.20625453241</v>
      </c>
      <c r="J19" s="17">
        <f t="shared" si="0"/>
        <v>12.364779968108069</v>
      </c>
      <c r="K19" s="17">
        <f aca="true" t="shared" si="2" ref="K19:K50">F19/(($F$27+$F$28)/2)*100</f>
        <v>31.393579722909738</v>
      </c>
    </row>
    <row r="20" spans="1:11" ht="12.75">
      <c r="A20" s="11">
        <v>1556</v>
      </c>
      <c r="B20" s="11">
        <v>1560</v>
      </c>
      <c r="C20" s="5">
        <v>54335.742999999995</v>
      </c>
      <c r="D20" s="5">
        <v>21294.67845</v>
      </c>
      <c r="F20" s="5">
        <f t="shared" si="1"/>
        <v>75630.42145</v>
      </c>
      <c r="G20" s="5">
        <v>1599799.7</v>
      </c>
      <c r="H20" s="5">
        <v>3816.7023205383607</v>
      </c>
      <c r="I20" s="5">
        <v>27145.028545467583</v>
      </c>
      <c r="J20" s="17">
        <f t="shared" si="0"/>
        <v>10.025396141142986</v>
      </c>
      <c r="K20" s="17">
        <f t="shared" si="2"/>
        <v>36.61296207408766</v>
      </c>
    </row>
    <row r="21" spans="1:11" ht="12.75">
      <c r="A21" s="11">
        <v>1561</v>
      </c>
      <c r="B21" s="11">
        <v>1565</v>
      </c>
      <c r="C21" s="5">
        <v>56080.3771</v>
      </c>
      <c r="D21" s="5">
        <v>27761.39652</v>
      </c>
      <c r="F21" s="5">
        <f t="shared" si="1"/>
        <v>83841.77361999999</v>
      </c>
      <c r="G21" s="5">
        <v>2241507.1</v>
      </c>
      <c r="H21" s="5">
        <v>1019.6432904987707</v>
      </c>
      <c r="I21" s="5">
        <v>83373.91757745473</v>
      </c>
      <c r="J21" s="17">
        <f t="shared" si="0"/>
        <v>30.792251706530305</v>
      </c>
      <c r="K21" s="17">
        <f t="shared" si="2"/>
        <v>40.58810752235076</v>
      </c>
    </row>
    <row r="22" spans="1:11" ht="12.75">
      <c r="A22" s="11">
        <v>1566</v>
      </c>
      <c r="B22" s="11">
        <v>1570</v>
      </c>
      <c r="C22" s="5">
        <v>51717.86156</v>
      </c>
      <c r="D22" s="5">
        <v>31498.076479999996</v>
      </c>
      <c r="F22" s="5">
        <f t="shared" si="1"/>
        <v>83215.93804</v>
      </c>
      <c r="G22" s="5">
        <v>2828243.1</v>
      </c>
      <c r="H22" s="5">
        <v>1286.5447095012294</v>
      </c>
      <c r="I22" s="5">
        <v>105197.84082254527</v>
      </c>
      <c r="J22" s="17">
        <f t="shared" si="0"/>
        <v>38.85241917032409</v>
      </c>
      <c r="K22" s="17">
        <f t="shared" si="2"/>
        <v>40.285138242055226</v>
      </c>
    </row>
    <row r="23" spans="1:11" ht="12.75">
      <c r="A23" s="11">
        <v>1571</v>
      </c>
      <c r="B23" s="11">
        <v>1575</v>
      </c>
      <c r="C23" s="5">
        <v>36439.0055</v>
      </c>
      <c r="D23" s="5">
        <v>35925.21314</v>
      </c>
      <c r="F23" s="5">
        <f t="shared" si="1"/>
        <v>72364.21864</v>
      </c>
      <c r="G23" s="5">
        <v>2381321.8</v>
      </c>
      <c r="H23" s="5">
        <v>770.0594383894946</v>
      </c>
      <c r="I23" s="5">
        <v>91353.21905118042</v>
      </c>
      <c r="J23" s="17">
        <f t="shared" si="0"/>
        <v>33.739224411669085</v>
      </c>
      <c r="K23" s="17">
        <f t="shared" si="2"/>
        <v>35.03178141535145</v>
      </c>
    </row>
    <row r="24" spans="1:11" ht="12.75">
      <c r="A24" s="11">
        <v>1576</v>
      </c>
      <c r="B24" s="11">
        <v>1580</v>
      </c>
      <c r="C24" s="5">
        <v>111607.52661999999</v>
      </c>
      <c r="D24" s="5">
        <v>30389.37501</v>
      </c>
      <c r="F24" s="5">
        <f t="shared" si="1"/>
        <v>141996.90162999998</v>
      </c>
      <c r="G24" s="5">
        <v>3450388.2</v>
      </c>
      <c r="H24" s="5">
        <v>1115.768561610505</v>
      </c>
      <c r="I24" s="5">
        <v>132365.17174881956</v>
      </c>
      <c r="J24" s="17">
        <f t="shared" si="0"/>
        <v>48.88605218630047</v>
      </c>
      <c r="K24" s="17">
        <f t="shared" si="2"/>
        <v>68.741216488582</v>
      </c>
    </row>
    <row r="25" spans="1:11" ht="12.75">
      <c r="A25" s="11">
        <v>1581</v>
      </c>
      <c r="B25" s="11">
        <v>1585</v>
      </c>
      <c r="C25" s="5">
        <v>168398.46375999998</v>
      </c>
      <c r="D25" s="5">
        <v>27613.049299999995</v>
      </c>
      <c r="F25" s="5">
        <f t="shared" si="1"/>
        <v>196011.51305999997</v>
      </c>
      <c r="G25" s="5">
        <v>5874922.4</v>
      </c>
      <c r="H25" s="5">
        <v>1336.2138558855027</v>
      </c>
      <c r="I25" s="5">
        <v>232207.5698233437</v>
      </c>
      <c r="J25" s="17">
        <f t="shared" si="0"/>
        <v>85.7605609274573</v>
      </c>
      <c r="K25" s="17">
        <f t="shared" si="2"/>
        <v>94.88988632034547</v>
      </c>
    </row>
    <row r="26" spans="1:11" ht="12.75">
      <c r="A26" s="11">
        <v>1586</v>
      </c>
      <c r="B26" s="11">
        <v>1590</v>
      </c>
      <c r="C26" s="5">
        <v>176839.5068</v>
      </c>
      <c r="D26" s="5">
        <v>28413.39977637394</v>
      </c>
      <c r="F26" s="5">
        <f t="shared" si="1"/>
        <v>205252.90657637393</v>
      </c>
      <c r="G26" s="5">
        <v>4766526.1</v>
      </c>
      <c r="H26" s="5">
        <v>1084.1161441144973</v>
      </c>
      <c r="I26" s="5">
        <v>188397.96797665622</v>
      </c>
      <c r="J26" s="17">
        <f t="shared" si="0"/>
        <v>69.58048535438792</v>
      </c>
      <c r="K26" s="17">
        <f t="shared" si="2"/>
        <v>99.36367853040751</v>
      </c>
    </row>
    <row r="27" spans="1:11" ht="12.75">
      <c r="A27" s="11">
        <v>1591</v>
      </c>
      <c r="B27" s="11">
        <v>1595</v>
      </c>
      <c r="C27" s="5">
        <v>192454.49252</v>
      </c>
      <c r="D27" s="5">
        <v>27002.86982</v>
      </c>
      <c r="F27" s="5">
        <f t="shared" si="1"/>
        <v>219457.36234</v>
      </c>
      <c r="G27" s="5">
        <v>7036972.5</v>
      </c>
      <c r="H27" s="5">
        <v>1966.2763257960974</v>
      </c>
      <c r="I27" s="5">
        <v>273704.53885134787</v>
      </c>
      <c r="J27" s="17">
        <f t="shared" si="0"/>
        <v>101.08651840308305</v>
      </c>
      <c r="K27" s="17">
        <f t="shared" si="2"/>
        <v>106.24010722386016</v>
      </c>
    </row>
    <row r="28" spans="1:11" ht="12.75">
      <c r="A28" s="11">
        <v>1596</v>
      </c>
      <c r="B28" s="11">
        <v>1600</v>
      </c>
      <c r="C28" s="5">
        <v>169671.91732</v>
      </c>
      <c r="D28" s="5">
        <v>24005.39814595887</v>
      </c>
      <c r="F28" s="5">
        <f t="shared" si="1"/>
        <v>193677.31546595888</v>
      </c>
      <c r="G28" s="5">
        <v>6885700.1</v>
      </c>
      <c r="H28" s="5">
        <v>1924.0076742039023</v>
      </c>
      <c r="I28" s="5">
        <v>267820.7667486522</v>
      </c>
      <c r="J28" s="17">
        <f t="shared" si="0"/>
        <v>98.91348159691697</v>
      </c>
      <c r="K28" s="17">
        <f t="shared" si="2"/>
        <v>93.75989277613982</v>
      </c>
    </row>
    <row r="29" spans="1:11" ht="12.75">
      <c r="A29" s="11">
        <v>1601</v>
      </c>
      <c r="B29" s="11">
        <v>1605</v>
      </c>
      <c r="C29" s="5">
        <v>183470.02397999997</v>
      </c>
      <c r="D29" s="5">
        <v>29736.3795</v>
      </c>
      <c r="F29" s="5">
        <f t="shared" si="1"/>
        <v>213206.40347999998</v>
      </c>
      <c r="G29" s="5">
        <v>4880665.6</v>
      </c>
      <c r="H29" s="5">
        <v>1028.8137715549065</v>
      </c>
      <c r="I29" s="5">
        <v>193590.35080488445</v>
      </c>
      <c r="J29" s="17">
        <f t="shared" si="0"/>
        <v>71.49817332742738</v>
      </c>
      <c r="K29" s="17">
        <f t="shared" si="2"/>
        <v>103.21399530645974</v>
      </c>
    </row>
    <row r="30" spans="1:11" ht="12.75">
      <c r="A30" s="11">
        <v>1606</v>
      </c>
      <c r="B30" s="11">
        <v>1610</v>
      </c>
      <c r="C30" s="5">
        <v>158273.45967999997</v>
      </c>
      <c r="D30" s="5">
        <v>34121.26738</v>
      </c>
      <c r="F30" s="5">
        <f t="shared" si="1"/>
        <v>192394.72705999998</v>
      </c>
      <c r="G30" s="5">
        <v>6281041.4</v>
      </c>
      <c r="H30" s="5">
        <v>1324.0042284450935</v>
      </c>
      <c r="I30" s="5">
        <v>249135.89819511556</v>
      </c>
      <c r="J30" s="17">
        <f t="shared" si="0"/>
        <v>92.01265226897478</v>
      </c>
      <c r="K30" s="17">
        <f t="shared" si="2"/>
        <v>93.13898706434125</v>
      </c>
    </row>
    <row r="31" spans="1:11" ht="12.75">
      <c r="A31" s="11">
        <v>1611</v>
      </c>
      <c r="B31" s="11">
        <v>1615</v>
      </c>
      <c r="C31" s="5">
        <v>161108.66593999998</v>
      </c>
      <c r="D31" s="5">
        <v>47517.24326819384</v>
      </c>
      <c r="F31" s="5">
        <f t="shared" si="1"/>
        <v>208625.90920819383</v>
      </c>
      <c r="G31" s="5">
        <v>4905624.1</v>
      </c>
      <c r="H31" s="5">
        <v>795.0851234487526</v>
      </c>
      <c r="I31" s="5">
        <v>196820.45348383937</v>
      </c>
      <c r="J31" s="17">
        <f t="shared" si="0"/>
        <v>72.69113795735397</v>
      </c>
      <c r="K31" s="17">
        <f t="shared" si="2"/>
        <v>100.99656137129271</v>
      </c>
    </row>
    <row r="32" spans="1:11" ht="12.75">
      <c r="A32" s="11">
        <v>1616</v>
      </c>
      <c r="B32" s="11">
        <v>1620</v>
      </c>
      <c r="C32" s="5">
        <v>139403.77498</v>
      </c>
      <c r="D32" s="5">
        <v>48213.16416</v>
      </c>
      <c r="F32" s="5">
        <f t="shared" si="1"/>
        <v>187616.93913999997</v>
      </c>
      <c r="G32" s="5">
        <v>6022492</v>
      </c>
      <c r="H32" s="5">
        <v>976.1028765512476</v>
      </c>
      <c r="I32" s="5">
        <v>241630.74511616057</v>
      </c>
      <c r="J32" s="17">
        <f t="shared" si="0"/>
        <v>89.24079544110617</v>
      </c>
      <c r="K32" s="17">
        <f t="shared" si="2"/>
        <v>90.82604255657274</v>
      </c>
    </row>
    <row r="33" spans="1:11" ht="12.75">
      <c r="A33" s="11">
        <v>1621</v>
      </c>
      <c r="B33" s="11">
        <v>1625</v>
      </c>
      <c r="C33" s="5">
        <v>134795.29984</v>
      </c>
      <c r="D33" s="5">
        <v>55609.74112</v>
      </c>
      <c r="F33" s="5">
        <f t="shared" si="1"/>
        <v>190405.04095999998</v>
      </c>
      <c r="G33" s="5">
        <v>5402135.7</v>
      </c>
      <c r="H33" s="5">
        <v>404.36694823838377</v>
      </c>
      <c r="I33" s="5">
        <v>223022.5519709609</v>
      </c>
      <c r="J33" s="17">
        <f t="shared" si="0"/>
        <v>82.3682844235159</v>
      </c>
      <c r="K33" s="17">
        <f t="shared" si="2"/>
        <v>92.17577278730856</v>
      </c>
    </row>
    <row r="34" spans="1:11" ht="12.75">
      <c r="A34" s="11">
        <v>1626</v>
      </c>
      <c r="B34" s="11">
        <v>1630</v>
      </c>
      <c r="C34" s="5">
        <v>130628.28133999999</v>
      </c>
      <c r="D34" s="5">
        <v>47861.74144</v>
      </c>
      <c r="F34" s="5">
        <f t="shared" si="1"/>
        <v>178490.02278</v>
      </c>
      <c r="G34" s="5">
        <v>4990905.3</v>
      </c>
      <c r="H34" s="5">
        <v>373.5850517616163</v>
      </c>
      <c r="I34" s="5">
        <v>206045.25662903916</v>
      </c>
      <c r="J34" s="17">
        <f t="shared" si="0"/>
        <v>76.09810825026719</v>
      </c>
      <c r="K34" s="17">
        <f t="shared" si="2"/>
        <v>86.40766915423798</v>
      </c>
    </row>
    <row r="35" spans="1:11" ht="12.75">
      <c r="A35" s="11">
        <v>1631</v>
      </c>
      <c r="B35" s="11">
        <v>1635</v>
      </c>
      <c r="C35" s="5">
        <v>124267.77516</v>
      </c>
      <c r="D35" s="5">
        <v>47934.530960000004</v>
      </c>
      <c r="F35" s="5">
        <f t="shared" si="1"/>
        <v>172202.30612000002</v>
      </c>
      <c r="G35" s="5">
        <v>3422170.8</v>
      </c>
      <c r="H35" s="5">
        <v>126.9948466916951</v>
      </c>
      <c r="I35" s="5">
        <v>143003.28160688834</v>
      </c>
      <c r="J35" s="17">
        <f t="shared" si="0"/>
        <v>52.814995025373136</v>
      </c>
      <c r="K35" s="17">
        <f t="shared" si="2"/>
        <v>83.36376265217804</v>
      </c>
    </row>
    <row r="36" spans="1:11" ht="12.75">
      <c r="A36" s="11">
        <v>1636</v>
      </c>
      <c r="B36" s="11">
        <v>1640</v>
      </c>
      <c r="C36" s="5">
        <v>147647.32426</v>
      </c>
      <c r="D36" s="5">
        <v>31044.37810017094</v>
      </c>
      <c r="F36" s="5">
        <f t="shared" si="1"/>
        <v>178691.70236017092</v>
      </c>
      <c r="G36" s="5">
        <v>3262920.4</v>
      </c>
      <c r="H36" s="5">
        <v>121.08515330830491</v>
      </c>
      <c r="I36" s="5">
        <v>136348.63719311167</v>
      </c>
      <c r="J36" s="17">
        <f t="shared" si="0"/>
        <v>50.357254142367324</v>
      </c>
      <c r="K36" s="17">
        <f t="shared" si="2"/>
        <v>86.50530297246016</v>
      </c>
    </row>
    <row r="37" spans="1:11" ht="12.75">
      <c r="A37" s="11">
        <v>1641</v>
      </c>
      <c r="B37" s="11">
        <v>1645</v>
      </c>
      <c r="C37" s="5">
        <v>113646.35926</v>
      </c>
      <c r="D37" s="5">
        <v>28101.06992444204</v>
      </c>
      <c r="F37" s="5">
        <f t="shared" si="1"/>
        <v>141747.42918444204</v>
      </c>
      <c r="G37" s="5">
        <v>2752760.5</v>
      </c>
      <c r="H37" s="5">
        <v>167.03380640634688</v>
      </c>
      <c r="I37" s="5">
        <v>113889.77949806959</v>
      </c>
      <c r="J37" s="17">
        <f t="shared" si="0"/>
        <v>42.0625881451216</v>
      </c>
      <c r="K37" s="17">
        <f t="shared" si="2"/>
        <v>68.6204459704145</v>
      </c>
    </row>
    <row r="38" spans="1:11" ht="12.75">
      <c r="A38" s="11">
        <v>1646</v>
      </c>
      <c r="B38" s="11">
        <v>1650</v>
      </c>
      <c r="C38" s="5">
        <v>121192.59946</v>
      </c>
      <c r="D38" s="5">
        <v>30215.72069652989</v>
      </c>
      <c r="F38" s="5">
        <f t="shared" si="1"/>
        <v>151408.3201565299</v>
      </c>
      <c r="G38" s="5">
        <v>2354109.4</v>
      </c>
      <c r="H38" s="5">
        <v>142.84419359365313</v>
      </c>
      <c r="I38" s="5">
        <v>97396.41370193043</v>
      </c>
      <c r="J38" s="17">
        <f t="shared" si="0"/>
        <v>35.97114029381028</v>
      </c>
      <c r="K38" s="17">
        <f t="shared" si="2"/>
        <v>73.29731842440171</v>
      </c>
    </row>
    <row r="39" spans="1:15" ht="12.75">
      <c r="A39" s="11">
        <v>1651</v>
      </c>
      <c r="B39" s="11">
        <v>1655</v>
      </c>
      <c r="C39" s="5">
        <v>99371.12728</v>
      </c>
      <c r="D39" s="5">
        <v>31046.27001198551</v>
      </c>
      <c r="F39" s="5">
        <f t="shared" si="1"/>
        <v>130417.39729198552</v>
      </c>
      <c r="G39" s="5">
        <v>1458753.4</v>
      </c>
      <c r="H39" s="5">
        <v>64.2693721457745</v>
      </c>
      <c r="I39" s="5">
        <v>60685.980680665074</v>
      </c>
      <c r="J39" s="17">
        <f t="shared" si="0"/>
        <v>22.412980539635583</v>
      </c>
      <c r="K39" s="17">
        <f t="shared" si="2"/>
        <v>63.13553632660194</v>
      </c>
      <c r="O39" s="5">
        <v>60685.980680665074</v>
      </c>
    </row>
    <row r="40" spans="1:15" ht="12.75">
      <c r="A40" s="11">
        <v>1656</v>
      </c>
      <c r="B40" s="11">
        <v>1660</v>
      </c>
      <c r="C40" s="5">
        <v>103710.81668</v>
      </c>
      <c r="D40" s="5">
        <v>26373.409937571058</v>
      </c>
      <c r="F40" s="5">
        <f t="shared" si="1"/>
        <v>130084.22661757105</v>
      </c>
      <c r="G40" s="5">
        <v>672223.1</v>
      </c>
      <c r="H40" s="5">
        <v>29.616627854225516</v>
      </c>
      <c r="I40" s="5">
        <v>27965.328519334922</v>
      </c>
      <c r="J40" s="17">
        <f t="shared" si="0"/>
        <v>10.328355196014286</v>
      </c>
      <c r="K40" s="17">
        <f t="shared" si="2"/>
        <v>62.974247191454126</v>
      </c>
      <c r="O40" s="5">
        <v>27965.328519334922</v>
      </c>
    </row>
    <row r="41" spans="1:15" ht="12.75">
      <c r="A41" s="11">
        <v>1661</v>
      </c>
      <c r="B41" s="11">
        <v>1665</v>
      </c>
      <c r="C41" s="5">
        <v>78949.35582</v>
      </c>
      <c r="D41" s="5">
        <v>22584.607952900184</v>
      </c>
      <c r="F41" s="5">
        <f t="shared" si="1"/>
        <v>101533.96377290018</v>
      </c>
      <c r="G41" s="5"/>
      <c r="H41" s="5"/>
      <c r="I41" s="5"/>
      <c r="K41" s="17">
        <f t="shared" si="2"/>
        <v>49.15296111772474</v>
      </c>
      <c r="O41" s="5">
        <f>AVERAGE(O39:O40)</f>
        <v>44325.654599999994</v>
      </c>
    </row>
    <row r="42" spans="1:11" ht="12.75">
      <c r="A42" s="11">
        <v>1666</v>
      </c>
      <c r="B42" s="11">
        <v>1670</v>
      </c>
      <c r="C42" s="5">
        <v>83016.31142</v>
      </c>
      <c r="D42" s="5">
        <v>35513.84548855786</v>
      </c>
      <c r="F42" s="5">
        <f t="shared" si="1"/>
        <v>118530.15690855787</v>
      </c>
      <c r="G42" s="5"/>
      <c r="H42" s="5"/>
      <c r="I42" s="5"/>
      <c r="K42" s="17">
        <f t="shared" si="2"/>
        <v>57.38088002587336</v>
      </c>
    </row>
    <row r="43" spans="1:11" ht="12.75">
      <c r="A43" s="11">
        <v>1671</v>
      </c>
      <c r="B43" s="11">
        <v>1675</v>
      </c>
      <c r="C43" s="5">
        <v>82017.54299999999</v>
      </c>
      <c r="D43" s="5">
        <v>50404.28998903996</v>
      </c>
      <c r="F43" s="5">
        <f t="shared" si="1"/>
        <v>132421.83298903995</v>
      </c>
      <c r="G43" s="5"/>
      <c r="H43" s="5"/>
      <c r="I43" s="5"/>
      <c r="K43" s="17">
        <f t="shared" si="2"/>
        <v>64.10589093720951</v>
      </c>
    </row>
    <row r="44" spans="1:11" ht="12.75">
      <c r="A44" s="11">
        <v>1676</v>
      </c>
      <c r="B44" s="11">
        <v>1680</v>
      </c>
      <c r="C44" s="5">
        <v>75757.1451</v>
      </c>
      <c r="D44" s="5">
        <v>64139.86661665818</v>
      </c>
      <c r="F44" s="5">
        <f t="shared" si="1"/>
        <v>139897.0117166582</v>
      </c>
      <c r="G44" s="5"/>
      <c r="H44" s="5"/>
      <c r="I44" s="5"/>
      <c r="K44" s="17">
        <f t="shared" si="2"/>
        <v>67.72465214472507</v>
      </c>
    </row>
    <row r="45" spans="1:11" ht="12.75">
      <c r="A45" s="11">
        <v>1681</v>
      </c>
      <c r="B45" s="11">
        <v>1685</v>
      </c>
      <c r="C45" s="5">
        <v>88180.87308</v>
      </c>
      <c r="D45" s="5">
        <v>37823.48475551414</v>
      </c>
      <c r="E45" s="5">
        <v>30492.82556235651</v>
      </c>
      <c r="F45" s="5">
        <f t="shared" si="1"/>
        <v>156497.18339787066</v>
      </c>
      <c r="G45" s="5"/>
      <c r="H45" s="5"/>
      <c r="I45" s="5"/>
      <c r="K45" s="17">
        <f t="shared" si="2"/>
        <v>75.76085562653941</v>
      </c>
    </row>
    <row r="46" spans="1:11" ht="12.75">
      <c r="A46" s="11">
        <v>1686</v>
      </c>
      <c r="B46" s="11">
        <v>1690</v>
      </c>
      <c r="C46" s="5">
        <v>81005.43286</v>
      </c>
      <c r="D46" s="5">
        <v>31163.995378310432</v>
      </c>
      <c r="E46" s="5">
        <v>31043.499699290573</v>
      </c>
      <c r="F46" s="5">
        <f t="shared" si="1"/>
        <v>143212.927937601</v>
      </c>
      <c r="K46" s="17">
        <f t="shared" si="2"/>
        <v>69.32989924649475</v>
      </c>
    </row>
    <row r="47" spans="1:11" ht="12.75">
      <c r="A47" s="11">
        <v>1691</v>
      </c>
      <c r="B47" s="11">
        <v>1695</v>
      </c>
      <c r="C47" s="5">
        <v>68181.8617</v>
      </c>
      <c r="D47" s="5">
        <v>31863.177140597334</v>
      </c>
      <c r="E47" s="5">
        <v>17500.53750974586</v>
      </c>
      <c r="F47" s="5">
        <f t="shared" si="1"/>
        <v>117545.57635034318</v>
      </c>
      <c r="K47" s="17">
        <f t="shared" si="2"/>
        <v>56.90424099695257</v>
      </c>
    </row>
    <row r="48" spans="1:11" ht="12.75">
      <c r="A48" s="11">
        <v>1696</v>
      </c>
      <c r="B48" s="11">
        <v>1700</v>
      </c>
      <c r="C48" s="5">
        <v>56884.78298</v>
      </c>
      <c r="D48" s="5">
        <v>26451.048626421707</v>
      </c>
      <c r="E48" s="5">
        <v>12506.019879581907</v>
      </c>
      <c r="F48" s="5">
        <f t="shared" si="1"/>
        <v>95841.85148600361</v>
      </c>
      <c r="K48" s="17">
        <f t="shared" si="2"/>
        <v>46.39738885875788</v>
      </c>
    </row>
    <row r="49" spans="1:11" ht="12.75">
      <c r="A49" s="11">
        <v>1701</v>
      </c>
      <c r="B49" s="11">
        <v>1705</v>
      </c>
      <c r="C49" s="5">
        <v>43642.71746</v>
      </c>
      <c r="D49" s="5">
        <v>31719.16784</v>
      </c>
      <c r="E49" s="5">
        <v>6233.961981420443</v>
      </c>
      <c r="F49" s="5">
        <f t="shared" si="1"/>
        <v>81595.84728142044</v>
      </c>
      <c r="K49" s="17">
        <f t="shared" si="2"/>
        <v>39.50084641393593</v>
      </c>
    </row>
    <row r="50" spans="1:11" ht="12.75">
      <c r="A50" s="11">
        <v>1706</v>
      </c>
      <c r="B50" s="11">
        <v>1710</v>
      </c>
      <c r="C50" s="5">
        <v>43950.71152</v>
      </c>
      <c r="D50" s="5">
        <v>36757.8</v>
      </c>
      <c r="E50" s="5">
        <v>6933.621102977202</v>
      </c>
      <c r="F50" s="5">
        <f t="shared" si="1"/>
        <v>87642.1326229772</v>
      </c>
      <c r="K50" s="17">
        <f t="shared" si="2"/>
        <v>42.4278751367083</v>
      </c>
    </row>
    <row r="51" spans="1:11" ht="12.75">
      <c r="A51" s="11">
        <v>1711</v>
      </c>
      <c r="B51" s="11">
        <v>1715</v>
      </c>
      <c r="C51" s="5">
        <v>30990.864219999996</v>
      </c>
      <c r="E51" s="5">
        <v>4509.575855719535</v>
      </c>
      <c r="F51" s="5"/>
      <c r="K51" s="17"/>
    </row>
    <row r="52" spans="1:11" ht="12.75">
      <c r="A52" s="11">
        <v>1716</v>
      </c>
      <c r="B52" s="11">
        <v>1720</v>
      </c>
      <c r="C52" s="5">
        <v>36332.72554</v>
      </c>
      <c r="E52" s="5">
        <v>3957.136</v>
      </c>
      <c r="F52" s="5"/>
      <c r="K52" s="17"/>
    </row>
    <row r="53" spans="1:11" ht="12.75">
      <c r="A53" s="11">
        <v>1721</v>
      </c>
      <c r="B53" s="11">
        <v>1725</v>
      </c>
      <c r="C53" s="5">
        <v>28828.05342</v>
      </c>
      <c r="K53" s="17"/>
    </row>
    <row r="54" spans="1:11" ht="12.75">
      <c r="A54" s="11">
        <v>1726</v>
      </c>
      <c r="B54" s="11">
        <v>1730</v>
      </c>
      <c r="C54" s="5">
        <v>39046.72182</v>
      </c>
      <c r="K54" s="17"/>
    </row>
    <row r="55" spans="1:11" ht="12.75">
      <c r="A55" s="11">
        <v>1731</v>
      </c>
      <c r="B55" s="11">
        <v>1735</v>
      </c>
      <c r="C55" s="5">
        <v>36668.58291999999</v>
      </c>
      <c r="K55" s="17"/>
    </row>
    <row r="56" spans="1:11" ht="12.75">
      <c r="A56" s="11">
        <v>1736</v>
      </c>
      <c r="B56" s="11">
        <v>1740</v>
      </c>
      <c r="C56" s="5">
        <v>44428.956643000005</v>
      </c>
      <c r="K56" s="17"/>
    </row>
    <row r="57" spans="1:11" ht="12.75">
      <c r="A57" s="11">
        <v>1741</v>
      </c>
      <c r="B57" s="11">
        <v>1745</v>
      </c>
      <c r="C57" s="5">
        <v>42876.752914000004</v>
      </c>
      <c r="K57" s="17"/>
    </row>
    <row r="58" spans="1:11" ht="12.75">
      <c r="A58" s="11">
        <v>1746</v>
      </c>
      <c r="B58" s="11">
        <v>1750</v>
      </c>
      <c r="C58" s="5">
        <v>52288.40936400001</v>
      </c>
      <c r="K58" s="17"/>
    </row>
    <row r="59" spans="1:11" ht="12.75">
      <c r="A59" s="11">
        <v>1751</v>
      </c>
      <c r="B59" s="11">
        <v>1755</v>
      </c>
      <c r="C59" s="5">
        <v>61018.443548</v>
      </c>
      <c r="K59" s="17"/>
    </row>
    <row r="60" spans="1:11" ht="12.75">
      <c r="A60" s="11">
        <v>1756</v>
      </c>
      <c r="B60" s="11">
        <v>1760</v>
      </c>
      <c r="C60" s="5">
        <v>67050.97952600001</v>
      </c>
      <c r="K60" s="17"/>
    </row>
    <row r="61" spans="1:3" ht="12.75">
      <c r="A61" s="11"/>
      <c r="B61" s="11"/>
      <c r="C61" s="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1"/>
      <c r="B67" s="11"/>
    </row>
    <row r="68" spans="1:2" ht="12.75">
      <c r="A68" s="11"/>
      <c r="B68" s="11"/>
    </row>
    <row r="69" spans="1:2" ht="12.75">
      <c r="A69" s="11"/>
      <c r="B69" s="11"/>
    </row>
    <row r="70" spans="1:2" ht="12.75">
      <c r="A70" s="11"/>
      <c r="B70" s="11"/>
    </row>
    <row r="71" spans="1:2" ht="12.75">
      <c r="A71" s="11"/>
      <c r="B71" s="11"/>
    </row>
    <row r="72" spans="1:2" ht="12.75">
      <c r="A72" s="11"/>
      <c r="B72" s="11"/>
    </row>
    <row r="73" spans="1:2" ht="12.75">
      <c r="A73" s="11"/>
      <c r="B73" s="11"/>
    </row>
    <row r="74" spans="1:2" ht="12.75">
      <c r="A74" s="11"/>
      <c r="B74" s="11"/>
    </row>
    <row r="75" spans="1:2" ht="12.75">
      <c r="A75" s="11"/>
      <c r="B75" s="11"/>
    </row>
    <row r="76" spans="1:2" ht="12.75">
      <c r="A76" s="11"/>
      <c r="B76" s="11"/>
    </row>
    <row r="77" spans="1:2" ht="12.75">
      <c r="A77" s="11"/>
      <c r="B77" s="11"/>
    </row>
    <row r="78" spans="1:2" ht="12.75">
      <c r="A78" s="11"/>
      <c r="B78" s="11"/>
    </row>
    <row r="79" spans="1:2" ht="12.75">
      <c r="A79" s="11"/>
      <c r="B79" s="11"/>
    </row>
    <row r="80" spans="1:2" ht="12.75">
      <c r="A80" s="11"/>
      <c r="B80" s="11"/>
    </row>
    <row r="81" spans="1:2" ht="12.75">
      <c r="A81" s="11"/>
      <c r="B81" s="11"/>
    </row>
    <row r="82" spans="1:2" ht="12.75">
      <c r="A82" s="11"/>
      <c r="B82" s="11"/>
    </row>
    <row r="83" spans="1:2" ht="12.75">
      <c r="A83" s="11"/>
      <c r="B83" s="11"/>
    </row>
    <row r="84" spans="1:2" ht="12.75">
      <c r="A84" s="11"/>
      <c r="B84" s="11"/>
    </row>
    <row r="85" spans="1:2" ht="12.75">
      <c r="A85" s="11"/>
      <c r="B85" s="11"/>
    </row>
    <row r="86" spans="1:2" ht="12.75">
      <c r="A86" s="11"/>
      <c r="B86" s="11"/>
    </row>
    <row r="87" spans="1:2" ht="12.75">
      <c r="A87" s="11"/>
      <c r="B87" s="11"/>
    </row>
    <row r="88" spans="1:2" ht="12.75">
      <c r="A88" s="11"/>
      <c r="B88" s="11"/>
    </row>
    <row r="89" spans="1:2" ht="12.75">
      <c r="A89" s="11"/>
      <c r="B89" s="11"/>
    </row>
    <row r="90" spans="1:2" ht="12.75">
      <c r="A90" s="11"/>
      <c r="B90" s="11"/>
    </row>
    <row r="91" spans="1:2" ht="12.75">
      <c r="A91" s="11"/>
      <c r="B91" s="11"/>
    </row>
    <row r="92" spans="1:2" ht="12.75">
      <c r="A92" s="11"/>
      <c r="B92" s="11"/>
    </row>
    <row r="93" spans="1:2" ht="12.75">
      <c r="A93" s="11"/>
      <c r="B93" s="11"/>
    </row>
    <row r="94" spans="1:2" ht="12.75">
      <c r="A94" s="11"/>
      <c r="B94" s="11"/>
    </row>
    <row r="95" spans="1:2" ht="12.75">
      <c r="A95" s="11"/>
      <c r="B95" s="11"/>
    </row>
    <row r="96" spans="1:2" ht="12.75">
      <c r="A96" s="11"/>
      <c r="B96" s="11"/>
    </row>
    <row r="97" spans="1:2" ht="12.75">
      <c r="A97" s="11"/>
      <c r="B97" s="11"/>
    </row>
    <row r="98" spans="1:2" ht="12.75">
      <c r="A98" s="11"/>
      <c r="B98" s="1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1"/>
  </sheetPr>
  <dimension ref="A1:K127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4" width="14.8515625" style="0" customWidth="1"/>
    <col min="5" max="5" width="14.8515625" style="5" customWidth="1"/>
    <col min="6" max="6" width="13.8515625" style="0" customWidth="1"/>
    <col min="7" max="7" width="16.8515625" style="0" customWidth="1"/>
    <col min="8" max="8" width="13.28125" style="0" customWidth="1"/>
    <col min="9" max="9" width="14.28125" style="0" customWidth="1"/>
    <col min="10" max="10" width="15.8515625" style="0" customWidth="1"/>
    <col min="11" max="11" width="15.140625" style="0" customWidth="1"/>
  </cols>
  <sheetData>
    <row r="1" spans="1:11" ht="12.75">
      <c r="A1" s="11"/>
      <c r="B1" s="1" t="s">
        <v>445</v>
      </c>
      <c r="D1" s="1"/>
      <c r="E1" s="4"/>
      <c r="F1" s="4"/>
      <c r="G1" s="5"/>
      <c r="H1" s="5"/>
      <c r="I1" s="5"/>
      <c r="J1" s="17"/>
      <c r="K1" s="19"/>
    </row>
    <row r="2" spans="1:11" ht="12.75">
      <c r="A2" s="11"/>
      <c r="B2" s="1" t="s">
        <v>207</v>
      </c>
      <c r="D2" s="1"/>
      <c r="E2" s="4"/>
      <c r="F2" s="4"/>
      <c r="G2" s="5"/>
      <c r="H2" s="5"/>
      <c r="I2" s="5"/>
      <c r="J2" s="17"/>
      <c r="K2" s="19"/>
    </row>
    <row r="3" spans="1:11" ht="12.75">
      <c r="A3" s="11"/>
      <c r="B3" s="1" t="s">
        <v>344</v>
      </c>
      <c r="D3" s="1"/>
      <c r="E3" s="4"/>
      <c r="F3" s="4"/>
      <c r="G3" s="5"/>
      <c r="H3" s="5"/>
      <c r="I3" s="5"/>
      <c r="J3" s="17"/>
      <c r="K3" s="19"/>
    </row>
    <row r="4" spans="1:11" ht="12.75">
      <c r="A4" s="11"/>
      <c r="B4" s="11"/>
      <c r="D4" s="1"/>
      <c r="E4" s="4"/>
      <c r="F4" s="4"/>
      <c r="G4" s="5"/>
      <c r="H4" s="5"/>
      <c r="I4" s="5"/>
      <c r="J4" s="17"/>
      <c r="K4" s="19"/>
    </row>
    <row r="5" spans="1:11" ht="12.75">
      <c r="A5" s="11"/>
      <c r="B5" s="11"/>
      <c r="C5" s="1" t="s">
        <v>487</v>
      </c>
      <c r="D5" s="1" t="s">
        <v>581</v>
      </c>
      <c r="E5" s="4" t="s">
        <v>525</v>
      </c>
      <c r="F5" s="4" t="s">
        <v>557</v>
      </c>
      <c r="G5" s="4" t="s">
        <v>431</v>
      </c>
      <c r="H5" s="4" t="s">
        <v>429</v>
      </c>
      <c r="I5" s="4" t="s">
        <v>429</v>
      </c>
      <c r="J5" s="18" t="s">
        <v>347</v>
      </c>
      <c r="K5" s="20" t="s">
        <v>346</v>
      </c>
    </row>
    <row r="6" spans="1:11" ht="12.75">
      <c r="A6" s="11" t="s">
        <v>575</v>
      </c>
      <c r="B6" s="11" t="s">
        <v>575</v>
      </c>
      <c r="C6" s="1" t="s">
        <v>519</v>
      </c>
      <c r="D6" s="1" t="s">
        <v>519</v>
      </c>
      <c r="E6" s="4" t="s">
        <v>519</v>
      </c>
      <c r="F6" s="4" t="s">
        <v>518</v>
      </c>
      <c r="G6" s="4" t="s">
        <v>246</v>
      </c>
      <c r="H6" s="4" t="s">
        <v>312</v>
      </c>
      <c r="I6" s="4" t="s">
        <v>516</v>
      </c>
      <c r="J6" s="18" t="s">
        <v>324</v>
      </c>
      <c r="K6" s="20" t="s">
        <v>444</v>
      </c>
    </row>
    <row r="7" spans="1:11" ht="12.75">
      <c r="A7" s="11" t="s">
        <v>242</v>
      </c>
      <c r="B7" s="11" t="s">
        <v>276</v>
      </c>
      <c r="C7" s="1" t="s">
        <v>331</v>
      </c>
      <c r="D7" s="1" t="s">
        <v>331</v>
      </c>
      <c r="E7" s="4" t="s">
        <v>331</v>
      </c>
      <c r="F7" s="4" t="s">
        <v>467</v>
      </c>
      <c r="G7" s="4" t="s">
        <v>325</v>
      </c>
      <c r="H7" s="4" t="s">
        <v>329</v>
      </c>
      <c r="I7" s="4" t="s">
        <v>329</v>
      </c>
      <c r="J7" s="18" t="s">
        <v>81</v>
      </c>
      <c r="K7" s="20" t="s">
        <v>81</v>
      </c>
    </row>
    <row r="8" spans="1:11" ht="12.75">
      <c r="A8" s="11"/>
      <c r="B8" s="11"/>
      <c r="D8" s="1"/>
      <c r="E8" s="4"/>
      <c r="F8" s="4"/>
      <c r="G8" s="5"/>
      <c r="H8" s="5"/>
      <c r="I8" s="5"/>
      <c r="J8" s="17"/>
      <c r="K8" s="19"/>
    </row>
    <row r="9" spans="1:11" ht="12.75">
      <c r="A9" s="11">
        <v>1503</v>
      </c>
      <c r="B9" s="11">
        <v>1505</v>
      </c>
      <c r="D9" s="1"/>
      <c r="E9" s="4"/>
      <c r="F9" s="4"/>
      <c r="G9" s="5">
        <v>123685.1</v>
      </c>
      <c r="H9" s="5">
        <v>517.2433472698118</v>
      </c>
      <c r="I9" s="5"/>
      <c r="J9" s="17"/>
      <c r="K9" s="19"/>
    </row>
    <row r="10" spans="1:11" ht="12.75">
      <c r="A10" s="11">
        <v>1506</v>
      </c>
      <c r="B10" s="11">
        <v>1510</v>
      </c>
      <c r="D10" s="1"/>
      <c r="E10" s="4"/>
      <c r="F10" s="4"/>
      <c r="G10" s="5">
        <v>163247.3</v>
      </c>
      <c r="H10" s="5">
        <v>682.6899916381129</v>
      </c>
      <c r="I10" s="5"/>
      <c r="J10" s="17"/>
      <c r="K10" s="19"/>
    </row>
    <row r="11" spans="1:11" ht="12.75">
      <c r="A11" s="11"/>
      <c r="B11" s="11"/>
      <c r="D11" s="1"/>
      <c r="E11" s="4"/>
      <c r="F11" s="4"/>
      <c r="G11" s="5"/>
      <c r="H11" s="5"/>
      <c r="I11" s="5"/>
      <c r="J11" s="17"/>
      <c r="K11" s="19"/>
    </row>
    <row r="12" spans="1:11" ht="12.75">
      <c r="A12" s="11">
        <v>1501</v>
      </c>
      <c r="B12" s="11">
        <v>1510</v>
      </c>
      <c r="D12" s="1"/>
      <c r="E12" s="4"/>
      <c r="F12" s="4"/>
      <c r="G12" s="5">
        <v>148411.48</v>
      </c>
      <c r="H12" s="5">
        <v>620.65</v>
      </c>
      <c r="I12" s="5"/>
      <c r="J12" s="17"/>
      <c r="K12" s="19"/>
    </row>
    <row r="13" spans="1:11" ht="12.75">
      <c r="A13" s="11"/>
      <c r="B13" s="11"/>
      <c r="D13" s="1"/>
      <c r="E13" s="4"/>
      <c r="F13" s="4"/>
      <c r="G13" s="5"/>
      <c r="H13" s="5"/>
      <c r="I13" s="5"/>
      <c r="J13" s="17"/>
      <c r="K13" s="19"/>
    </row>
    <row r="14" spans="1:11" ht="12.75">
      <c r="A14" s="11">
        <v>1511</v>
      </c>
      <c r="B14" s="11">
        <v>1515</v>
      </c>
      <c r="D14" s="1"/>
      <c r="E14" s="4"/>
      <c r="F14" s="4"/>
      <c r="G14" s="5">
        <v>239110.7</v>
      </c>
      <c r="H14" s="5">
        <v>999.9464723947458</v>
      </c>
      <c r="I14" s="5"/>
      <c r="J14" s="17"/>
      <c r="K14" s="19"/>
    </row>
    <row r="15" spans="1:11" ht="12.75">
      <c r="A15" s="11">
        <v>1516</v>
      </c>
      <c r="B15" s="11">
        <v>1520</v>
      </c>
      <c r="D15" s="1"/>
      <c r="E15" s="4"/>
      <c r="F15" s="4"/>
      <c r="G15" s="5">
        <v>198639.3</v>
      </c>
      <c r="H15" s="5">
        <v>830.6975276052541</v>
      </c>
      <c r="I15" s="5"/>
      <c r="J15" s="17"/>
      <c r="K15" s="19"/>
    </row>
    <row r="16" spans="1:11" ht="12.75">
      <c r="A16" s="11"/>
      <c r="B16" s="11"/>
      <c r="D16" s="1"/>
      <c r="E16" s="4"/>
      <c r="F16" s="4"/>
      <c r="G16" s="5"/>
      <c r="H16" s="5"/>
      <c r="I16" s="5"/>
      <c r="J16" s="17"/>
      <c r="K16" s="19"/>
    </row>
    <row r="17" spans="1:11" ht="12.75">
      <c r="A17" s="11">
        <v>1511</v>
      </c>
      <c r="B17" s="11">
        <v>1520</v>
      </c>
      <c r="D17" s="1"/>
      <c r="E17" s="4"/>
      <c r="F17" s="4"/>
      <c r="G17" s="5">
        <f>SUM(G14:G16)/2</f>
        <v>218875</v>
      </c>
      <c r="H17" s="5">
        <f>SUM(H14:H16)/2</f>
        <v>915.3219999999999</v>
      </c>
      <c r="I17" s="5"/>
      <c r="J17" s="17"/>
      <c r="K17" s="19"/>
    </row>
    <row r="18" spans="1:11" ht="12.75">
      <c r="A18" s="11"/>
      <c r="B18" s="11"/>
      <c r="D18" s="1"/>
      <c r="E18" s="4"/>
      <c r="F18" s="4"/>
      <c r="G18" s="5"/>
      <c r="H18" s="5"/>
      <c r="I18" s="5"/>
      <c r="J18" s="17"/>
      <c r="K18" s="19"/>
    </row>
    <row r="19" spans="1:11" ht="12.75">
      <c r="A19" s="11">
        <v>1521</v>
      </c>
      <c r="B19" s="11">
        <v>1525</v>
      </c>
      <c r="D19" s="1"/>
      <c r="E19" s="4"/>
      <c r="F19" s="4"/>
      <c r="G19" s="5">
        <v>26834</v>
      </c>
      <c r="H19" s="5">
        <v>111.8812762502697</v>
      </c>
      <c r="I19" s="5">
        <v>3.4037510657876</v>
      </c>
      <c r="J19" s="17">
        <f>I19/(($I$54+$I$55)/2)*100</f>
        <v>0.0012570976944526375</v>
      </c>
      <c r="K19" s="19"/>
    </row>
    <row r="20" spans="1:11" ht="12.75">
      <c r="A20" s="11">
        <v>1526</v>
      </c>
      <c r="B20" s="11">
        <v>1530</v>
      </c>
      <c r="D20" s="1"/>
      <c r="E20" s="4"/>
      <c r="F20" s="4"/>
      <c r="G20" s="5">
        <v>207687.4</v>
      </c>
      <c r="H20" s="5">
        <v>865.9287237497304</v>
      </c>
      <c r="I20" s="5">
        <v>26.344048934212402</v>
      </c>
      <c r="J20" s="17">
        <f>I20/(($I$54+$I$55)/2)*100</f>
        <v>0.009729572620811758</v>
      </c>
      <c r="K20" s="19"/>
    </row>
    <row r="21" spans="1:11" ht="12.75">
      <c r="A21" s="11"/>
      <c r="B21" s="11"/>
      <c r="D21" s="1"/>
      <c r="E21" s="4"/>
      <c r="F21" s="4"/>
      <c r="G21" s="5"/>
      <c r="H21" s="5"/>
      <c r="I21" s="5"/>
      <c r="J21" s="17"/>
      <c r="K21" s="19"/>
    </row>
    <row r="22" spans="1:11" ht="12.75">
      <c r="A22" s="11">
        <v>1521</v>
      </c>
      <c r="B22" s="11">
        <v>1530</v>
      </c>
      <c r="D22" s="1"/>
      <c r="E22" s="4"/>
      <c r="F22" s="4"/>
      <c r="G22" s="5">
        <f>SUM(G19:G21)/2</f>
        <v>117260.7</v>
      </c>
      <c r="H22" s="5">
        <f>SUM(H19:H21)/2</f>
        <v>488.90500000000003</v>
      </c>
      <c r="I22" s="5">
        <f>SUM(I19:I21)/2</f>
        <v>14.8739</v>
      </c>
      <c r="J22" s="17">
        <f>SUM(J19:J21)/2</f>
        <v>0.005493335157632198</v>
      </c>
      <c r="K22" s="19"/>
    </row>
    <row r="23" spans="1:11" ht="12.75">
      <c r="A23" s="11"/>
      <c r="B23" s="11"/>
      <c r="D23" s="1"/>
      <c r="E23" s="4"/>
      <c r="F23" s="4"/>
      <c r="G23" s="5"/>
      <c r="H23" s="5"/>
      <c r="I23" s="5"/>
      <c r="J23" s="17"/>
      <c r="K23" s="19"/>
    </row>
    <row r="24" spans="1:11" ht="12.75">
      <c r="A24" s="11">
        <v>1531</v>
      </c>
      <c r="B24" s="11">
        <v>1535</v>
      </c>
      <c r="D24" s="1"/>
      <c r="E24" s="4"/>
      <c r="F24" s="4"/>
      <c r="G24" s="5">
        <v>330046.2</v>
      </c>
      <c r="H24" s="5">
        <v>854.4133953085857</v>
      </c>
      <c r="I24" s="5">
        <v>5090.79009840535</v>
      </c>
      <c r="J24" s="17">
        <f>I24/(($I$54+$I$55)/2)*100</f>
        <v>1.8801670192549353</v>
      </c>
      <c r="K24" s="19"/>
    </row>
    <row r="25" spans="1:11" ht="12.75">
      <c r="A25" s="11">
        <v>1536</v>
      </c>
      <c r="B25" s="11">
        <v>1540</v>
      </c>
      <c r="D25" s="1"/>
      <c r="E25" s="4"/>
      <c r="F25" s="4"/>
      <c r="G25" s="5">
        <v>787578.4</v>
      </c>
      <c r="H25" s="5">
        <v>2038.8586046914145</v>
      </c>
      <c r="I25" s="5">
        <v>12147.98510159465</v>
      </c>
      <c r="J25" s="17">
        <f>I25/(($I$54+$I$55)/2)*100</f>
        <v>4.486580765836937</v>
      </c>
      <c r="K25" s="19"/>
    </row>
    <row r="26" spans="1:11" ht="12.75">
      <c r="A26" s="11"/>
      <c r="B26" s="11"/>
      <c r="D26" s="1"/>
      <c r="E26" s="4"/>
      <c r="F26" s="4"/>
      <c r="G26" s="5"/>
      <c r="H26" s="5"/>
      <c r="I26" s="5"/>
      <c r="J26" s="17"/>
      <c r="K26" s="19"/>
    </row>
    <row r="27" spans="1:11" ht="12.75">
      <c r="A27" s="11">
        <v>1531</v>
      </c>
      <c r="B27" s="11">
        <v>1540</v>
      </c>
      <c r="D27" s="1"/>
      <c r="E27" s="4"/>
      <c r="F27" s="4"/>
      <c r="G27" s="5">
        <f>SUM(G24:G26)/2</f>
        <v>558812.3</v>
      </c>
      <c r="H27" s="5">
        <f>SUM(H24:H26)/2</f>
        <v>1446.636</v>
      </c>
      <c r="I27" s="5">
        <f>SUM(I24:I26)/2</f>
        <v>8619.3876</v>
      </c>
      <c r="J27" s="17">
        <f>SUM(J24:J26)/2</f>
        <v>3.1833738925459363</v>
      </c>
      <c r="K27" s="19"/>
    </row>
    <row r="28" spans="1:11" ht="12.75">
      <c r="A28" s="11"/>
      <c r="B28" s="11"/>
      <c r="D28" s="1"/>
      <c r="E28" s="4"/>
      <c r="F28" s="4"/>
      <c r="G28" s="5"/>
      <c r="H28" s="5"/>
      <c r="I28" s="5"/>
      <c r="J28" s="17"/>
      <c r="K28" s="19"/>
    </row>
    <row r="29" spans="1:11" ht="12.75">
      <c r="A29" s="11">
        <v>1541</v>
      </c>
      <c r="B29" s="11">
        <v>1545</v>
      </c>
      <c r="D29" s="1"/>
      <c r="E29" s="4"/>
      <c r="F29" s="4"/>
      <c r="G29" s="5">
        <v>990801</v>
      </c>
      <c r="H29" s="5">
        <v>2363.396785416903</v>
      </c>
      <c r="I29" s="5">
        <v>16815.869652235993</v>
      </c>
      <c r="J29" s="17">
        <f>I29/(($I$54+$I$55)/2)*100</f>
        <v>6.210557282675579</v>
      </c>
      <c r="K29" s="19"/>
    </row>
    <row r="30" spans="1:11" ht="12.75">
      <c r="A30" s="11">
        <v>1546</v>
      </c>
      <c r="B30" s="11">
        <v>1550</v>
      </c>
      <c r="D30" s="1"/>
      <c r="E30" s="4"/>
      <c r="F30" s="4"/>
      <c r="G30" s="5">
        <v>1101742.2</v>
      </c>
      <c r="H30" s="5">
        <v>2628.0292145830967</v>
      </c>
      <c r="I30" s="5">
        <v>18698.763147764002</v>
      </c>
      <c r="J30" s="17">
        <f>I30/(($I$54+$I$55)/2)*100</f>
        <v>6.905960978885785</v>
      </c>
      <c r="K30" s="19"/>
    </row>
    <row r="31" spans="1:11" ht="12.75">
      <c r="A31" s="11"/>
      <c r="B31" s="11"/>
      <c r="D31" s="1"/>
      <c r="E31" s="4"/>
      <c r="F31" s="4"/>
      <c r="G31" s="5"/>
      <c r="H31" s="5"/>
      <c r="I31" s="5"/>
      <c r="J31" s="17"/>
      <c r="K31" s="19"/>
    </row>
    <row r="32" spans="1:11" ht="12.75">
      <c r="A32" s="11">
        <v>1541</v>
      </c>
      <c r="B32" s="11">
        <v>1550</v>
      </c>
      <c r="D32" s="1"/>
      <c r="E32" s="4"/>
      <c r="F32" s="4"/>
      <c r="G32" s="5">
        <f>SUM(G29:G31)/2</f>
        <v>1046271.6</v>
      </c>
      <c r="H32" s="5">
        <f>SUM(H29:H31)/2</f>
        <v>2495.7129999999997</v>
      </c>
      <c r="I32" s="5">
        <f>SUM(I29:I31)/2</f>
        <v>17757.316399999996</v>
      </c>
      <c r="J32" s="17">
        <f>SUM(J29:J31)/2</f>
        <v>6.558259130780682</v>
      </c>
      <c r="K32" s="19"/>
    </row>
    <row r="33" spans="1:11" ht="12.75">
      <c r="A33" s="11"/>
      <c r="B33" s="11"/>
      <c r="D33" s="1"/>
      <c r="E33" s="4"/>
      <c r="F33" s="4"/>
      <c r="G33" s="5"/>
      <c r="H33" s="5"/>
      <c r="I33" s="5"/>
      <c r="J33" s="17"/>
      <c r="K33" s="19"/>
    </row>
    <row r="34" spans="1:11" ht="12.75">
      <c r="A34" s="11">
        <v>1551</v>
      </c>
      <c r="B34" s="11">
        <v>1555</v>
      </c>
      <c r="C34" s="5">
        <v>64848.88221999999</v>
      </c>
      <c r="D34" s="1"/>
      <c r="E34" s="4"/>
      <c r="F34" s="4">
        <f>C34+D34+E34</f>
        <v>64848.88221999999</v>
      </c>
      <c r="G34" s="5">
        <v>1973106.2</v>
      </c>
      <c r="H34" s="5">
        <v>4707.313679461639</v>
      </c>
      <c r="I34" s="5">
        <v>33479.20625453241</v>
      </c>
      <c r="J34" s="17">
        <f>I34/(($I$54+$I$55)/2)*100</f>
        <v>12.364779968108069</v>
      </c>
      <c r="K34" s="17">
        <f>F34/(($F$54+$F$55)/2)*100</f>
        <v>31.393579722909738</v>
      </c>
    </row>
    <row r="35" spans="1:11" ht="12.75">
      <c r="A35" s="11">
        <v>1556</v>
      </c>
      <c r="B35" s="11">
        <v>1560</v>
      </c>
      <c r="C35" s="5">
        <v>54335.742999999995</v>
      </c>
      <c r="D35" s="5">
        <v>21294.67845</v>
      </c>
      <c r="E35" s="4"/>
      <c r="F35" s="4">
        <f>C35+D35+E35</f>
        <v>75630.42145</v>
      </c>
      <c r="G35" s="5">
        <v>1599799.7</v>
      </c>
      <c r="H35" s="5">
        <v>3816.7023205383607</v>
      </c>
      <c r="I35" s="5">
        <v>27145.028545467583</v>
      </c>
      <c r="J35" s="17">
        <f>I35/(($I$54+$I$55)/2)*100</f>
        <v>10.025396141142986</v>
      </c>
      <c r="K35" s="17">
        <f>F35/(($F$54+$F$55)/2)*100</f>
        <v>36.61296207408766</v>
      </c>
    </row>
    <row r="36" spans="1:11" ht="12.75">
      <c r="A36" s="11"/>
      <c r="B36" s="11"/>
      <c r="C36" s="5"/>
      <c r="D36" s="5"/>
      <c r="E36" s="4"/>
      <c r="F36" s="4"/>
      <c r="G36" s="5"/>
      <c r="H36" s="5"/>
      <c r="I36" s="5"/>
      <c r="J36" s="17"/>
      <c r="K36" s="17"/>
    </row>
    <row r="37" spans="1:11" ht="12.75">
      <c r="A37" s="11">
        <v>1551</v>
      </c>
      <c r="B37" s="11">
        <v>1560</v>
      </c>
      <c r="C37" s="5">
        <f>SUM(C34:C36)/2</f>
        <v>59592.31260999999</v>
      </c>
      <c r="D37" s="5">
        <v>21294.67845</v>
      </c>
      <c r="E37" s="4"/>
      <c r="F37" s="4"/>
      <c r="G37" s="5">
        <f>SUM(G34:G36)/2</f>
        <v>1786452.95</v>
      </c>
      <c r="H37" s="5">
        <f>SUM(H34:H36)/2</f>
        <v>4262.008</v>
      </c>
      <c r="I37" s="5">
        <f>SUM(I34:I36)/2</f>
        <v>30312.117399999996</v>
      </c>
      <c r="J37" s="17">
        <f>SUM(J34:J36)/2</f>
        <v>11.195088054625527</v>
      </c>
      <c r="K37" s="17">
        <f>SUM(K34:K36)/2</f>
        <v>34.0032708984987</v>
      </c>
    </row>
    <row r="38" spans="1:11" ht="12.75">
      <c r="A38" s="11"/>
      <c r="B38" s="11"/>
      <c r="C38" s="5"/>
      <c r="D38" s="5"/>
      <c r="E38" s="4"/>
      <c r="F38" s="4"/>
      <c r="G38" s="5"/>
      <c r="H38" s="5"/>
      <c r="I38" s="5"/>
      <c r="J38" s="17"/>
      <c r="K38" s="17"/>
    </row>
    <row r="39" spans="1:11" ht="12.75">
      <c r="A39" s="11">
        <v>1561</v>
      </c>
      <c r="B39" s="11">
        <v>1565</v>
      </c>
      <c r="C39" s="5">
        <v>56080.3771</v>
      </c>
      <c r="D39" s="5">
        <v>27761.39652</v>
      </c>
      <c r="E39" s="4"/>
      <c r="F39" s="4">
        <f>C39+D39+E39</f>
        <v>83841.77361999999</v>
      </c>
      <c r="G39" s="5">
        <v>2241507.1</v>
      </c>
      <c r="H39" s="5">
        <v>1019.6432904987707</v>
      </c>
      <c r="I39" s="5">
        <v>83373.91757745473</v>
      </c>
      <c r="J39" s="17">
        <f>I39/(($I$54+$I$55)/2)*100</f>
        <v>30.792251706530305</v>
      </c>
      <c r="K39" s="17">
        <f>F39/(($F$54+$F$55)/2)*100</f>
        <v>40.58810752235076</v>
      </c>
    </row>
    <row r="40" spans="1:11" ht="12.75">
      <c r="A40" s="11">
        <v>1566</v>
      </c>
      <c r="B40" s="11">
        <v>1570</v>
      </c>
      <c r="C40" s="5">
        <v>51717.86156</v>
      </c>
      <c r="D40" s="5">
        <v>31498.076479999996</v>
      </c>
      <c r="E40" s="4"/>
      <c r="F40" s="4">
        <f>C40+D40+E40</f>
        <v>83215.93804</v>
      </c>
      <c r="G40" s="5">
        <v>2828243.1</v>
      </c>
      <c r="H40" s="5">
        <v>1286.5447095012294</v>
      </c>
      <c r="I40" s="5">
        <v>105197.84082254527</v>
      </c>
      <c r="J40" s="17">
        <f>I40/(($I$54+$I$55)/2)*100</f>
        <v>38.85241917032409</v>
      </c>
      <c r="K40" s="17">
        <f>F40/(($F$54+$F$55)/2)*100</f>
        <v>40.285138242055226</v>
      </c>
    </row>
    <row r="41" spans="1:11" ht="12.75">
      <c r="A41" s="11"/>
      <c r="B41" s="11"/>
      <c r="C41" s="5"/>
      <c r="D41" s="5"/>
      <c r="E41" s="4"/>
      <c r="F41" s="4"/>
      <c r="G41" s="5"/>
      <c r="H41" s="5"/>
      <c r="I41" s="5"/>
      <c r="J41" s="17"/>
      <c r="K41" s="17"/>
    </row>
    <row r="42" spans="1:11" ht="12.75">
      <c r="A42" s="11">
        <v>1561</v>
      </c>
      <c r="B42" s="11">
        <v>1570</v>
      </c>
      <c r="C42" s="5">
        <f>SUM(C39:C41)/2</f>
        <v>53899.11933</v>
      </c>
      <c r="D42" s="5">
        <f>SUM(D39:D41)/2</f>
        <v>29629.7365</v>
      </c>
      <c r="E42" s="4"/>
      <c r="F42" s="4"/>
      <c r="G42" s="5">
        <f>SUM(G39:G41)/2</f>
        <v>2534875.1</v>
      </c>
      <c r="H42" s="5">
        <f>SUM(H39:H41)/2</f>
        <v>1153.094</v>
      </c>
      <c r="I42" s="5">
        <f>SUM(I39:I41)/2</f>
        <v>94285.8792</v>
      </c>
      <c r="J42" s="17">
        <f>SUM(J39:J41)/2</f>
        <v>34.822335438427196</v>
      </c>
      <c r="K42" s="17">
        <f>SUM(K39:K41)/2</f>
        <v>40.436622882203</v>
      </c>
    </row>
    <row r="43" spans="1:11" ht="12.75">
      <c r="A43" s="11"/>
      <c r="B43" s="11"/>
      <c r="C43" s="5"/>
      <c r="D43" s="5"/>
      <c r="E43" s="4"/>
      <c r="F43" s="4"/>
      <c r="G43" s="5"/>
      <c r="H43" s="5"/>
      <c r="I43" s="5"/>
      <c r="J43" s="17"/>
      <c r="K43" s="17"/>
    </row>
    <row r="44" spans="1:11" ht="12.75">
      <c r="A44" s="11">
        <v>1571</v>
      </c>
      <c r="B44" s="11">
        <v>1575</v>
      </c>
      <c r="C44" s="5">
        <v>36439.0055</v>
      </c>
      <c r="D44" s="5">
        <v>35925.21314</v>
      </c>
      <c r="E44" s="4"/>
      <c r="F44" s="4">
        <f>C44+D44+E44</f>
        <v>72364.21864</v>
      </c>
      <c r="G44" s="5">
        <v>2381321.8</v>
      </c>
      <c r="H44" s="5">
        <v>770.0594383894946</v>
      </c>
      <c r="I44" s="5">
        <v>91353.21905118042</v>
      </c>
      <c r="J44" s="17">
        <f>I44/(($I$54+$I$55)/2)*100</f>
        <v>33.739224411669085</v>
      </c>
      <c r="K44" s="17">
        <f>F44/(($F$54+$F$55)/2)*100</f>
        <v>35.03178141535145</v>
      </c>
    </row>
    <row r="45" spans="1:11" ht="12.75">
      <c r="A45" s="11">
        <v>1576</v>
      </c>
      <c r="B45" s="11">
        <v>1580</v>
      </c>
      <c r="C45" s="5">
        <v>111607.52661999999</v>
      </c>
      <c r="D45" s="5">
        <v>30389.37501</v>
      </c>
      <c r="E45" s="4"/>
      <c r="F45" s="4">
        <f>C45+D45+E45</f>
        <v>141996.90162999998</v>
      </c>
      <c r="G45" s="5">
        <v>3450388.2</v>
      </c>
      <c r="H45" s="5">
        <v>1115.768561610505</v>
      </c>
      <c r="I45" s="5">
        <v>132365.17174881956</v>
      </c>
      <c r="J45" s="17">
        <f>I45/(($I$54+$I$55)/2)*100</f>
        <v>48.88605218630047</v>
      </c>
      <c r="K45" s="17">
        <f>F45/(($F$54+$F$55)/2)*100</f>
        <v>68.741216488582</v>
      </c>
    </row>
    <row r="46" spans="1:11" ht="12.75">
      <c r="A46" s="11"/>
      <c r="B46" s="11"/>
      <c r="C46" s="5"/>
      <c r="D46" s="5"/>
      <c r="E46" s="4"/>
      <c r="F46" s="4"/>
      <c r="G46" s="5"/>
      <c r="H46" s="5"/>
      <c r="I46" s="5"/>
      <c r="J46" s="17"/>
      <c r="K46" s="17"/>
    </row>
    <row r="47" spans="1:11" ht="12.75">
      <c r="A47" s="11">
        <v>1571</v>
      </c>
      <c r="B47" s="11">
        <v>1580</v>
      </c>
      <c r="C47" s="5">
        <f>SUM(C44:C46)/2</f>
        <v>74023.26606</v>
      </c>
      <c r="D47" s="5">
        <f>SUM(D44:D46)/2</f>
        <v>33157.294075</v>
      </c>
      <c r="E47" s="4"/>
      <c r="F47" s="4"/>
      <c r="G47" s="5">
        <f>SUM(G44:G46)/2</f>
        <v>2915855</v>
      </c>
      <c r="H47" s="5">
        <f>SUM(H44:H46)/2</f>
        <v>942.9139999999998</v>
      </c>
      <c r="I47" s="5">
        <f>SUM(I44:I46)/2</f>
        <v>111859.1954</v>
      </c>
      <c r="J47" s="17">
        <f>SUM(J44:J46)/2</f>
        <v>41.31263829898478</v>
      </c>
      <c r="K47" s="17">
        <f>SUM(K44:K46)/2</f>
        <v>51.88649895196673</v>
      </c>
    </row>
    <row r="48" spans="1:11" ht="12.75">
      <c r="A48" s="11"/>
      <c r="B48" s="11"/>
      <c r="C48" s="5"/>
      <c r="D48" s="5"/>
      <c r="E48" s="4"/>
      <c r="F48" s="4"/>
      <c r="G48" s="5"/>
      <c r="H48" s="5"/>
      <c r="I48" s="5"/>
      <c r="J48" s="17"/>
      <c r="K48" s="17"/>
    </row>
    <row r="49" spans="1:11" ht="12.75">
      <c r="A49" s="11">
        <v>1581</v>
      </c>
      <c r="B49" s="11">
        <v>1585</v>
      </c>
      <c r="C49" s="5">
        <v>168398.46375999998</v>
      </c>
      <c r="D49" s="5">
        <v>27613.049299999995</v>
      </c>
      <c r="E49" s="4"/>
      <c r="F49" s="4">
        <f>C49+D49+E49</f>
        <v>196011.51305999997</v>
      </c>
      <c r="G49" s="5">
        <v>5874922.4</v>
      </c>
      <c r="H49" s="5">
        <v>1336.2138558855027</v>
      </c>
      <c r="I49" s="5">
        <v>232207.5698233437</v>
      </c>
      <c r="J49" s="17">
        <f>I49/(($I$54+$I$55)/2)*100</f>
        <v>85.7605609274573</v>
      </c>
      <c r="K49" s="17">
        <f>F49/(($F$54+$F$55)/2)*100</f>
        <v>94.88988632034547</v>
      </c>
    </row>
    <row r="50" spans="1:11" ht="12.75">
      <c r="A50" s="11">
        <v>1586</v>
      </c>
      <c r="B50" s="11">
        <v>1590</v>
      </c>
      <c r="C50" s="5">
        <v>176839.5068</v>
      </c>
      <c r="D50" s="5">
        <v>28413.39977637394</v>
      </c>
      <c r="E50" s="4"/>
      <c r="F50" s="4">
        <f>C50+D50+E50</f>
        <v>205252.90657637393</v>
      </c>
      <c r="G50" s="5">
        <v>4766526.1</v>
      </c>
      <c r="H50" s="5">
        <v>1084.1161441144973</v>
      </c>
      <c r="I50" s="5">
        <v>188397.96797665622</v>
      </c>
      <c r="J50" s="17">
        <f>I50/(($I$54+$I$55)/2)*100</f>
        <v>69.58048535438792</v>
      </c>
      <c r="K50" s="17">
        <f>F50/(($F$54+$F$55)/2)*100</f>
        <v>99.36367853040751</v>
      </c>
    </row>
    <row r="51" spans="1:11" ht="12.75">
      <c r="A51" s="11"/>
      <c r="B51" s="11"/>
      <c r="C51" s="5"/>
      <c r="D51" s="5"/>
      <c r="E51" s="4"/>
      <c r="F51" s="4"/>
      <c r="G51" s="5"/>
      <c r="H51" s="5"/>
      <c r="I51" s="5"/>
      <c r="J51" s="17"/>
      <c r="K51" s="17"/>
    </row>
    <row r="52" spans="1:11" ht="12.75">
      <c r="A52" s="11">
        <v>1581</v>
      </c>
      <c r="B52" s="11">
        <v>1590</v>
      </c>
      <c r="C52" s="5">
        <f>SUM(C49:C51)/2</f>
        <v>172618.98528</v>
      </c>
      <c r="D52" s="5">
        <f>SUM(D49:D51)/2</f>
        <v>28013.224538186965</v>
      </c>
      <c r="E52" s="4"/>
      <c r="F52" s="4"/>
      <c r="G52" s="5">
        <f>SUM(G49:G51)/2</f>
        <v>5320724.25</v>
      </c>
      <c r="H52" s="5">
        <f>SUM(H49:H51)/2</f>
        <v>1210.165</v>
      </c>
      <c r="I52" s="5">
        <f>SUM(I49:I51)/2</f>
        <v>210302.76889999997</v>
      </c>
      <c r="J52" s="17">
        <f>SUM(J49:J51)/2</f>
        <v>77.67052314092261</v>
      </c>
      <c r="K52" s="17">
        <f>SUM(K49:K51)/2</f>
        <v>97.12678242537649</v>
      </c>
    </row>
    <row r="53" spans="1:11" ht="12.75">
      <c r="A53" s="11"/>
      <c r="B53" s="11" t="s">
        <v>2</v>
      </c>
      <c r="C53" s="5"/>
      <c r="D53" s="5"/>
      <c r="E53" s="4"/>
      <c r="F53" s="4"/>
      <c r="G53" s="5"/>
      <c r="H53" s="5"/>
      <c r="I53" s="5"/>
      <c r="J53" s="17"/>
      <c r="K53" s="17"/>
    </row>
    <row r="54" spans="1:11" ht="12.75">
      <c r="A54" s="11">
        <v>1591</v>
      </c>
      <c r="B54" s="11">
        <v>1595</v>
      </c>
      <c r="C54" s="5">
        <v>192454.49252</v>
      </c>
      <c r="D54" s="5">
        <v>27002.86982</v>
      </c>
      <c r="E54" s="4"/>
      <c r="F54" s="4">
        <f>C54+D54+E54</f>
        <v>219457.36234</v>
      </c>
      <c r="G54" s="5">
        <v>7036972.5</v>
      </c>
      <c r="H54" s="5">
        <v>1966.2763257960974</v>
      </c>
      <c r="I54" s="5">
        <v>273704.53885134787</v>
      </c>
      <c r="J54" s="17">
        <f>I54/(($I$54+$I$55)/2)*100</f>
        <v>101.08651840308305</v>
      </c>
      <c r="K54" s="17">
        <f>F54/(($F$54+$F$55)/2)*100</f>
        <v>106.24010722386016</v>
      </c>
    </row>
    <row r="55" spans="1:11" ht="12.75">
      <c r="A55" s="11">
        <v>1596</v>
      </c>
      <c r="B55" s="11">
        <v>1600</v>
      </c>
      <c r="C55" s="5">
        <v>169671.91732</v>
      </c>
      <c r="D55" s="5">
        <v>24005.39814595887</v>
      </c>
      <c r="E55" s="4"/>
      <c r="F55" s="4">
        <f>C55+D55+E55</f>
        <v>193677.31546595888</v>
      </c>
      <c r="G55" s="5">
        <v>6885700.1</v>
      </c>
      <c r="H55" s="5">
        <v>1924.0076742039023</v>
      </c>
      <c r="I55" s="5">
        <v>267820.7667486522</v>
      </c>
      <c r="J55" s="17">
        <f>I55/(($I$54+$I$55)/2)*100</f>
        <v>98.91348159691697</v>
      </c>
      <c r="K55" s="17">
        <f>F55/(($F$54+$F$55)/2)*100</f>
        <v>93.75989277613982</v>
      </c>
    </row>
    <row r="56" spans="1:11" ht="12.75">
      <c r="A56" s="11"/>
      <c r="B56" s="11"/>
      <c r="C56" s="5"/>
      <c r="D56" s="5"/>
      <c r="E56" s="4"/>
      <c r="F56" s="4"/>
      <c r="G56" s="5"/>
      <c r="H56" s="5"/>
      <c r="I56" s="5"/>
      <c r="J56" s="17"/>
      <c r="K56" s="17"/>
    </row>
    <row r="57" spans="1:11" ht="12.75">
      <c r="A57" s="11">
        <v>1591</v>
      </c>
      <c r="B57" s="11">
        <v>1600</v>
      </c>
      <c r="C57" s="5">
        <f>SUM(C54:C56)/2</f>
        <v>181063.20492</v>
      </c>
      <c r="D57" s="5">
        <f>SUM(D54:D56)/2</f>
        <v>25504.133982979434</v>
      </c>
      <c r="E57" s="4"/>
      <c r="F57" s="4"/>
      <c r="G57" s="5">
        <f>SUM(G54:G56)/2</f>
        <v>6961336.3</v>
      </c>
      <c r="H57" s="5">
        <f>SUM(H54:H56)/2</f>
        <v>1945.1419999999998</v>
      </c>
      <c r="I57" s="5">
        <f>SUM(I54:I56)/2</f>
        <v>270762.65280000004</v>
      </c>
      <c r="J57" s="17">
        <f>SUM(J54:J56)/2</f>
        <v>100</v>
      </c>
      <c r="K57" s="17">
        <f>SUM(K54:K56)/2</f>
        <v>100</v>
      </c>
    </row>
    <row r="58" spans="1:11" ht="12.75">
      <c r="A58" s="11"/>
      <c r="B58" s="11"/>
      <c r="C58" s="5"/>
      <c r="D58" s="5"/>
      <c r="E58" s="4"/>
      <c r="F58" s="4"/>
      <c r="G58" s="5"/>
      <c r="H58" s="5"/>
      <c r="I58" s="5"/>
      <c r="J58" s="17"/>
      <c r="K58" s="17"/>
    </row>
    <row r="59" spans="1:11" ht="12.75">
      <c r="A59" s="11">
        <v>1601</v>
      </c>
      <c r="B59" s="11">
        <v>1605</v>
      </c>
      <c r="C59" s="5">
        <v>183470.02397999997</v>
      </c>
      <c r="D59" s="5">
        <v>29736.3795</v>
      </c>
      <c r="E59" s="4"/>
      <c r="F59" s="4">
        <f>C59+D59+E59</f>
        <v>213206.40347999998</v>
      </c>
      <c r="G59" s="5">
        <v>4880665.6</v>
      </c>
      <c r="H59" s="5">
        <v>1028.8137715549065</v>
      </c>
      <c r="I59" s="5">
        <v>193590.35080488445</v>
      </c>
      <c r="J59" s="17">
        <f>I59/(($I$54+$I$55)/2)*100</f>
        <v>71.49817332742738</v>
      </c>
      <c r="K59" s="17">
        <f>F59/(($F$54+$F$55)/2)*100</f>
        <v>103.21399530645974</v>
      </c>
    </row>
    <row r="60" spans="1:11" ht="12.75">
      <c r="A60" s="11">
        <v>1606</v>
      </c>
      <c r="B60" s="11">
        <v>1610</v>
      </c>
      <c r="C60" s="5">
        <v>158273.45967999997</v>
      </c>
      <c r="D60" s="5">
        <v>34121.26738</v>
      </c>
      <c r="E60" s="4"/>
      <c r="F60" s="4">
        <f>C60+D60+E60</f>
        <v>192394.72705999998</v>
      </c>
      <c r="G60" s="5">
        <v>6281041.4</v>
      </c>
      <c r="H60" s="5">
        <v>1324.0042284450935</v>
      </c>
      <c r="I60" s="5">
        <v>249135.89819511556</v>
      </c>
      <c r="J60" s="17">
        <f>I60/(($I$54+$I$55)/2)*100</f>
        <v>92.01265226897478</v>
      </c>
      <c r="K60" s="17">
        <f>F60/(($F$54+$F$55)/2)*100</f>
        <v>93.13898706434125</v>
      </c>
    </row>
    <row r="61" spans="1:11" ht="12.75">
      <c r="A61" s="11"/>
      <c r="B61" s="11"/>
      <c r="C61" s="5"/>
      <c r="D61" s="5"/>
      <c r="E61" s="4"/>
      <c r="F61" s="4"/>
      <c r="G61" s="5"/>
      <c r="H61" s="5"/>
      <c r="I61" s="5"/>
      <c r="J61" s="17"/>
      <c r="K61" s="17"/>
    </row>
    <row r="62" spans="1:11" ht="12.75">
      <c r="A62" s="11">
        <v>1601</v>
      </c>
      <c r="B62" s="11">
        <v>1610</v>
      </c>
      <c r="C62" s="5">
        <f>SUM(C59:C61)/2</f>
        <v>170871.74182999996</v>
      </c>
      <c r="D62" s="5">
        <f>SUM(D59:D61)/2</f>
        <v>31928.82344</v>
      </c>
      <c r="E62" s="4"/>
      <c r="F62" s="4"/>
      <c r="G62" s="5">
        <f>SUM(G59:G61)/2</f>
        <v>5580853.5</v>
      </c>
      <c r="H62" s="5">
        <f>SUM(H59:H61)/2</f>
        <v>1176.409</v>
      </c>
      <c r="I62" s="5">
        <f>SUM(I59:I61)/2</f>
        <v>221363.1245</v>
      </c>
      <c r="J62" s="17">
        <f>SUM(J59:J61)/2</f>
        <v>81.75541279820108</v>
      </c>
      <c r="K62" s="17">
        <f>SUM(K59:K61)/2</f>
        <v>98.1764911854005</v>
      </c>
    </row>
    <row r="63" spans="1:11" ht="12.75">
      <c r="A63" s="11"/>
      <c r="B63" s="11"/>
      <c r="C63" s="5"/>
      <c r="D63" s="5"/>
      <c r="E63" s="4"/>
      <c r="F63" s="4"/>
      <c r="G63" s="5"/>
      <c r="H63" s="5"/>
      <c r="I63" s="5"/>
      <c r="J63" s="17"/>
      <c r="K63" s="17"/>
    </row>
    <row r="64" spans="1:11" ht="12.75">
      <c r="A64" s="11">
        <v>1611</v>
      </c>
      <c r="B64" s="11">
        <v>1615</v>
      </c>
      <c r="C64" s="5">
        <v>161108.66593999998</v>
      </c>
      <c r="D64" s="5">
        <v>47517.24326819384</v>
      </c>
      <c r="E64" s="4"/>
      <c r="F64" s="4">
        <f>C64+D64+E64</f>
        <v>208625.90920819383</v>
      </c>
      <c r="G64" s="5">
        <v>4905624.1</v>
      </c>
      <c r="H64" s="5">
        <v>795.0851234487526</v>
      </c>
      <c r="I64" s="5">
        <v>196820.45348383937</v>
      </c>
      <c r="J64" s="17">
        <f>I64/(($I$54+$I$55)/2)*100</f>
        <v>72.69113795735397</v>
      </c>
      <c r="K64" s="17">
        <f>F64/(($F$54+$F$55)/2)*100</f>
        <v>100.99656137129271</v>
      </c>
    </row>
    <row r="65" spans="1:11" ht="12.75">
      <c r="A65" s="11">
        <v>1616</v>
      </c>
      <c r="B65" s="11">
        <v>1620</v>
      </c>
      <c r="C65" s="5">
        <v>139403.77498</v>
      </c>
      <c r="D65" s="5">
        <v>48213.16416</v>
      </c>
      <c r="E65" s="4"/>
      <c r="F65" s="4">
        <f>C65+D65+E65</f>
        <v>187616.93913999997</v>
      </c>
      <c r="G65" s="5">
        <v>6022492</v>
      </c>
      <c r="H65" s="5">
        <v>976.1028765512476</v>
      </c>
      <c r="I65" s="5">
        <v>241630.74511616057</v>
      </c>
      <c r="J65" s="17">
        <f>I65/(($I$54+$I$55)/2)*100</f>
        <v>89.24079544110617</v>
      </c>
      <c r="K65" s="17">
        <f>F65/(($F$54+$F$55)/2)*100</f>
        <v>90.82604255657274</v>
      </c>
    </row>
    <row r="66" spans="1:11" ht="12.75">
      <c r="A66" s="11"/>
      <c r="B66" s="11"/>
      <c r="C66" s="5"/>
      <c r="D66" s="5"/>
      <c r="E66" s="4"/>
      <c r="F66" s="4"/>
      <c r="G66" s="5"/>
      <c r="H66" s="5"/>
      <c r="I66" s="5"/>
      <c r="J66" s="17"/>
      <c r="K66" s="17"/>
    </row>
    <row r="67" spans="1:11" ht="12.75">
      <c r="A67" s="11">
        <v>1611</v>
      </c>
      <c r="B67" s="11">
        <v>1620</v>
      </c>
      <c r="C67" s="5">
        <f>SUM(C64:C66)/2</f>
        <v>150256.22045999998</v>
      </c>
      <c r="D67" s="5">
        <f>SUM(D64:D66)/2</f>
        <v>47865.20371409692</v>
      </c>
      <c r="E67" s="4"/>
      <c r="F67" s="4"/>
      <c r="G67" s="5">
        <f>SUM(G64:G66)/2</f>
        <v>5464058.05</v>
      </c>
      <c r="H67" s="5">
        <f>SUM(H64:H66)/2</f>
        <v>885.594</v>
      </c>
      <c r="I67" s="5">
        <f>SUM(I64:I66)/2</f>
        <v>219225.59929999997</v>
      </c>
      <c r="J67" s="17">
        <f>SUM(J64:J66)/2</f>
        <v>80.96596669923008</v>
      </c>
      <c r="K67" s="17">
        <f>SUM(K64:K66)/2</f>
        <v>95.91130196393273</v>
      </c>
    </row>
    <row r="68" spans="1:11" ht="12.75">
      <c r="A68" s="11"/>
      <c r="B68" s="11"/>
      <c r="C68" s="5"/>
      <c r="D68" s="5"/>
      <c r="E68" s="4"/>
      <c r="F68" s="4"/>
      <c r="G68" s="5"/>
      <c r="H68" s="5"/>
      <c r="I68" s="5"/>
      <c r="J68" s="17"/>
      <c r="K68" s="17"/>
    </row>
    <row r="69" spans="1:11" ht="12.75">
      <c r="A69" s="11">
        <v>1621</v>
      </c>
      <c r="B69" s="11">
        <v>1625</v>
      </c>
      <c r="C69" s="5">
        <v>134795.29984</v>
      </c>
      <c r="D69" s="5">
        <v>55609.74112</v>
      </c>
      <c r="E69" s="4"/>
      <c r="F69" s="4">
        <f>C69+D69+E69</f>
        <v>190405.04095999998</v>
      </c>
      <c r="G69" s="5">
        <v>5402135.7</v>
      </c>
      <c r="H69" s="5">
        <v>404.36694823838377</v>
      </c>
      <c r="I69" s="5">
        <v>223022.5519709609</v>
      </c>
      <c r="J69" s="17">
        <f>I69/(($I$54+$I$55)/2)*100</f>
        <v>82.3682844235159</v>
      </c>
      <c r="K69" s="17">
        <f>F69/(($F$54+$F$55)/2)*100</f>
        <v>92.17577278730856</v>
      </c>
    </row>
    <row r="70" spans="1:11" ht="12.75">
      <c r="A70" s="11">
        <v>1626</v>
      </c>
      <c r="B70" s="11">
        <v>1630</v>
      </c>
      <c r="C70" s="5">
        <v>130628.28133999999</v>
      </c>
      <c r="D70" s="5">
        <v>47861.74144</v>
      </c>
      <c r="E70" s="4"/>
      <c r="F70" s="4">
        <f>C70+D70+E70</f>
        <v>178490.02278</v>
      </c>
      <c r="G70" s="5">
        <v>4990905.3</v>
      </c>
      <c r="H70" s="5">
        <v>373.5850517616163</v>
      </c>
      <c r="I70" s="5">
        <v>206045.25662903916</v>
      </c>
      <c r="J70" s="17">
        <f>I70/(($I$54+$I$55)/2)*100</f>
        <v>76.09810825026719</v>
      </c>
      <c r="K70" s="17">
        <f>F70/(($F$54+$F$55)/2)*100</f>
        <v>86.40766915423798</v>
      </c>
    </row>
    <row r="71" spans="1:11" ht="12.75">
      <c r="A71" s="11"/>
      <c r="B71" s="11"/>
      <c r="C71" s="5"/>
      <c r="D71" s="5"/>
      <c r="E71" s="4"/>
      <c r="F71" s="4"/>
      <c r="G71" s="5"/>
      <c r="H71" s="5"/>
      <c r="I71" s="5"/>
      <c r="J71" s="17"/>
      <c r="K71" s="17"/>
    </row>
    <row r="72" spans="1:11" ht="12.75">
      <c r="A72" s="11">
        <v>1621</v>
      </c>
      <c r="B72" s="11">
        <v>1630</v>
      </c>
      <c r="C72" s="5">
        <f>SUM(C69:C71)/2</f>
        <v>132711.79059</v>
      </c>
      <c r="D72" s="5">
        <f>SUM(D69:D71)/2</f>
        <v>51735.74128</v>
      </c>
      <c r="E72" s="4"/>
      <c r="F72" s="4"/>
      <c r="G72" s="5">
        <f>SUM(G69:G71)/2</f>
        <v>5196520.5</v>
      </c>
      <c r="H72" s="5">
        <f>SUM(H69:H71)/2</f>
        <v>388.976</v>
      </c>
      <c r="I72" s="5">
        <f>SUM(I69:I71)/2</f>
        <v>214533.90430000002</v>
      </c>
      <c r="J72" s="17">
        <f>SUM(J69:J71)/2</f>
        <v>79.23319633689155</v>
      </c>
      <c r="K72" s="17">
        <f>SUM(K69:K71)/2</f>
        <v>89.29172097077327</v>
      </c>
    </row>
    <row r="73" spans="1:11" ht="12.75">
      <c r="A73" s="11"/>
      <c r="B73" s="11"/>
      <c r="C73" s="5"/>
      <c r="D73" s="5"/>
      <c r="E73" s="4"/>
      <c r="F73" s="4"/>
      <c r="G73" s="5"/>
      <c r="H73" s="5"/>
      <c r="I73" s="5"/>
      <c r="J73" s="17"/>
      <c r="K73" s="17"/>
    </row>
    <row r="74" spans="1:11" ht="12.75">
      <c r="A74" s="11">
        <v>1631</v>
      </c>
      <c r="B74" s="11">
        <v>1635</v>
      </c>
      <c r="C74" s="5">
        <v>124267.77516</v>
      </c>
      <c r="D74" s="5">
        <v>47934.530960000004</v>
      </c>
      <c r="E74" s="4"/>
      <c r="F74" s="4">
        <f>C74+D74+E74</f>
        <v>172202.30612000002</v>
      </c>
      <c r="G74" s="5">
        <v>3422170.8</v>
      </c>
      <c r="H74" s="5">
        <v>126.9948466916951</v>
      </c>
      <c r="I74" s="5">
        <v>143003.28160688834</v>
      </c>
      <c r="J74" s="17">
        <f>I74/(($I$54+$I$55)/2)*100</f>
        <v>52.814995025373136</v>
      </c>
      <c r="K74" s="17">
        <f>F74/(($F$54+$F$55)/2)*100</f>
        <v>83.36376265217804</v>
      </c>
    </row>
    <row r="75" spans="1:11" ht="12.75">
      <c r="A75" s="11">
        <v>1636</v>
      </c>
      <c r="B75" s="11">
        <v>1640</v>
      </c>
      <c r="C75" s="5">
        <v>147647.32426</v>
      </c>
      <c r="D75" s="5">
        <v>31044.37810017094</v>
      </c>
      <c r="E75" s="4"/>
      <c r="F75" s="4">
        <f>C75+D75+E75</f>
        <v>178691.70236017092</v>
      </c>
      <c r="G75" s="5">
        <v>3262920.4</v>
      </c>
      <c r="H75" s="5">
        <v>121.08515330830491</v>
      </c>
      <c r="I75" s="5">
        <v>136348.63719311167</v>
      </c>
      <c r="J75" s="17">
        <f>I75/(($I$54+$I$55)/2)*100</f>
        <v>50.357254142367324</v>
      </c>
      <c r="K75" s="17">
        <f>F75/(($F$54+$F$55)/2)*100</f>
        <v>86.50530297246016</v>
      </c>
    </row>
    <row r="76" spans="1:11" ht="12.75">
      <c r="A76" s="11"/>
      <c r="B76" s="11"/>
      <c r="C76" s="5"/>
      <c r="D76" s="5"/>
      <c r="E76" s="4"/>
      <c r="F76" s="4"/>
      <c r="G76" s="5"/>
      <c r="H76" s="5"/>
      <c r="I76" s="5"/>
      <c r="J76" s="17"/>
      <c r="K76" s="17"/>
    </row>
    <row r="77" spans="1:11" ht="12.75">
      <c r="A77" s="11">
        <v>1631</v>
      </c>
      <c r="B77" s="11">
        <v>1640</v>
      </c>
      <c r="C77" s="5">
        <f>SUM(C74:C76)/2</f>
        <v>135957.54971</v>
      </c>
      <c r="D77" s="5">
        <f>SUM(D74:D76)/2</f>
        <v>39489.45453008547</v>
      </c>
      <c r="E77" s="4"/>
      <c r="F77" s="4"/>
      <c r="G77" s="5">
        <f>SUM(G74:G76)/2</f>
        <v>3342545.5999999996</v>
      </c>
      <c r="H77" s="5">
        <f>SUM(H74:H76)/2</f>
        <v>124.04</v>
      </c>
      <c r="I77" s="5">
        <f>SUM(I74:I76)/2</f>
        <v>139675.9594</v>
      </c>
      <c r="J77" s="17">
        <f>SUM(J74:J76)/2</f>
        <v>51.58612458387023</v>
      </c>
      <c r="K77" s="17">
        <f>SUM(K74:K76)/2</f>
        <v>84.9345328123191</v>
      </c>
    </row>
    <row r="78" spans="1:11" ht="12.75">
      <c r="A78" s="11"/>
      <c r="B78" s="11"/>
      <c r="C78" s="5"/>
      <c r="D78" s="5"/>
      <c r="E78" s="4"/>
      <c r="F78" s="4"/>
      <c r="G78" s="5"/>
      <c r="H78" s="5"/>
      <c r="I78" s="5"/>
      <c r="J78" s="17"/>
      <c r="K78" s="17"/>
    </row>
    <row r="79" spans="1:11" ht="12.75">
      <c r="A79" s="11">
        <v>1641</v>
      </c>
      <c r="B79" s="11">
        <v>1645</v>
      </c>
      <c r="C79" s="5">
        <v>113646.35926</v>
      </c>
      <c r="D79" s="5">
        <v>28101.06992444204</v>
      </c>
      <c r="E79" s="4"/>
      <c r="F79" s="4">
        <f>C79+D79+E79</f>
        <v>141747.42918444204</v>
      </c>
      <c r="G79" s="5">
        <v>2752760.5</v>
      </c>
      <c r="H79" s="5">
        <v>167.03380640634688</v>
      </c>
      <c r="I79" s="5">
        <v>113889.77949806959</v>
      </c>
      <c r="J79" s="17">
        <f>I79/(($I$54+$I$55)/2)*100</f>
        <v>42.0625881451216</v>
      </c>
      <c r="K79" s="17">
        <f>F79/(($F$54+$F$55)/2)*100</f>
        <v>68.6204459704145</v>
      </c>
    </row>
    <row r="80" spans="1:11" ht="12.75">
      <c r="A80" s="11">
        <v>1646</v>
      </c>
      <c r="B80" s="11">
        <v>1650</v>
      </c>
      <c r="C80" s="5">
        <v>121192.59946</v>
      </c>
      <c r="D80" s="5">
        <v>30215.72069652989</v>
      </c>
      <c r="E80" s="4"/>
      <c r="F80" s="4">
        <f>C80+D80+E80</f>
        <v>151408.3201565299</v>
      </c>
      <c r="G80" s="5">
        <v>2354109.4</v>
      </c>
      <c r="H80" s="5">
        <v>142.84419359365313</v>
      </c>
      <c r="I80" s="5">
        <v>97396.41370193043</v>
      </c>
      <c r="J80" s="17">
        <f>I80/(($I$54+$I$55)/2)*100</f>
        <v>35.97114029381028</v>
      </c>
      <c r="K80" s="17">
        <f>F80/(($F$54+$F$55)/2)*100</f>
        <v>73.29731842440171</v>
      </c>
    </row>
    <row r="81" spans="1:11" ht="12.75">
      <c r="A81" s="11"/>
      <c r="B81" s="11"/>
      <c r="C81" s="5"/>
      <c r="D81" s="5"/>
      <c r="E81" s="4"/>
      <c r="F81" s="4"/>
      <c r="G81" s="5"/>
      <c r="H81" s="5"/>
      <c r="I81" s="5"/>
      <c r="J81" s="17"/>
      <c r="K81" s="17"/>
    </row>
    <row r="82" spans="1:11" ht="12.75">
      <c r="A82" s="11">
        <v>1641</v>
      </c>
      <c r="B82" s="11">
        <v>1650</v>
      </c>
      <c r="C82" s="5">
        <f>SUM(C79:C81)/2</f>
        <v>117419.47936</v>
      </c>
      <c r="D82" s="5">
        <f>SUM(D79:D81)/2</f>
        <v>29158.395310485965</v>
      </c>
      <c r="E82" s="4"/>
      <c r="F82" s="4"/>
      <c r="G82" s="5">
        <f>SUM(G79:G81)/2</f>
        <v>2553434.95</v>
      </c>
      <c r="H82" s="5">
        <f>SUM(H79:H81)/2</f>
        <v>154.93900000000002</v>
      </c>
      <c r="I82" s="5">
        <f>SUM(I79:I81)/2</f>
        <v>105643.09660000002</v>
      </c>
      <c r="J82" s="17">
        <f>SUM(J79:J81)/2</f>
        <v>39.016864219465944</v>
      </c>
      <c r="K82" s="17">
        <f>SUM(K79:K81)/2</f>
        <v>70.9588821974081</v>
      </c>
    </row>
    <row r="83" spans="1:11" ht="12.75">
      <c r="A83" s="11"/>
      <c r="B83" s="11"/>
      <c r="C83" s="5"/>
      <c r="D83" s="5"/>
      <c r="E83" s="4"/>
      <c r="F83" s="4"/>
      <c r="G83" s="5"/>
      <c r="H83" s="5"/>
      <c r="I83" s="5"/>
      <c r="J83" s="17"/>
      <c r="K83" s="17"/>
    </row>
    <row r="84" spans="1:11" ht="12.75">
      <c r="A84" s="11">
        <v>1651</v>
      </c>
      <c r="B84" s="11">
        <v>1655</v>
      </c>
      <c r="C84" s="5">
        <v>99371.12728</v>
      </c>
      <c r="D84" s="5">
        <v>31046.27001198551</v>
      </c>
      <c r="E84" s="4"/>
      <c r="F84" s="4">
        <f>C84+D84+E84</f>
        <v>130417.39729198552</v>
      </c>
      <c r="G84" s="5">
        <v>1458753.4</v>
      </c>
      <c r="H84" s="5">
        <v>64.2693721457745</v>
      </c>
      <c r="I84" s="5">
        <v>60685.980680665074</v>
      </c>
      <c r="J84" s="17">
        <f>I84/(($I$54+$I$55)/2)*100</f>
        <v>22.412980539635583</v>
      </c>
      <c r="K84" s="17">
        <f>F84/(($F$54+$F$55)/2)*100</f>
        <v>63.13553632660194</v>
      </c>
    </row>
    <row r="85" spans="1:11" ht="12.75">
      <c r="A85" s="11">
        <v>1656</v>
      </c>
      <c r="B85" s="11">
        <v>1660</v>
      </c>
      <c r="C85" s="5">
        <v>103710.81668</v>
      </c>
      <c r="D85" s="5">
        <v>26373.409937571058</v>
      </c>
      <c r="E85" s="4"/>
      <c r="F85" s="4">
        <f>C85+D85+E85</f>
        <v>130084.22661757105</v>
      </c>
      <c r="G85" s="5">
        <v>672223.1</v>
      </c>
      <c r="H85" s="5">
        <v>29.616627854225516</v>
      </c>
      <c r="I85" s="5">
        <v>27965.328519334922</v>
      </c>
      <c r="J85" s="17">
        <f>I85/(($I$54+$I$55)/2)*100</f>
        <v>10.328355196014286</v>
      </c>
      <c r="K85" s="17">
        <f>F85/(($F$54+$F$55)/2)*100</f>
        <v>62.974247191454126</v>
      </c>
    </row>
    <row r="86" spans="1:11" ht="12.75">
      <c r="A86" s="11"/>
      <c r="B86" s="11"/>
      <c r="C86" s="5"/>
      <c r="D86" s="5"/>
      <c r="E86" s="4"/>
      <c r="F86" s="4"/>
      <c r="G86" s="5"/>
      <c r="H86" s="5"/>
      <c r="I86" s="5"/>
      <c r="J86" s="17"/>
      <c r="K86" s="17"/>
    </row>
    <row r="87" spans="1:11" ht="12.75">
      <c r="A87" s="11">
        <v>1651</v>
      </c>
      <c r="B87" s="11">
        <v>1660</v>
      </c>
      <c r="C87" s="5">
        <f>SUM(C84:C86)/2</f>
        <v>101540.97198</v>
      </c>
      <c r="D87" s="5">
        <f>SUM(D84:D86)/2</f>
        <v>28709.839974778282</v>
      </c>
      <c r="E87" s="4"/>
      <c r="F87" s="4"/>
      <c r="G87" s="5">
        <f>SUM(G84:G86)/2</f>
        <v>1065488.25</v>
      </c>
      <c r="H87" s="5">
        <f>SUM(H84:H86)/2</f>
        <v>46.943000000000005</v>
      </c>
      <c r="I87" s="5">
        <f>SUM(I84:I86)/2</f>
        <v>44325.654599999994</v>
      </c>
      <c r="J87" s="17">
        <f>SUM(J84:J86)/2</f>
        <v>16.370667867824935</v>
      </c>
      <c r="K87" s="17">
        <f>SUM(K84:K86)/2</f>
        <v>63.05489175902803</v>
      </c>
    </row>
    <row r="88" spans="1:11" ht="12.75">
      <c r="A88" s="11"/>
      <c r="B88" s="11"/>
      <c r="C88" s="5"/>
      <c r="D88" s="5"/>
      <c r="E88" s="4"/>
      <c r="F88" s="4"/>
      <c r="G88" s="5"/>
      <c r="H88" s="5"/>
      <c r="I88" s="5"/>
      <c r="J88" s="17"/>
      <c r="K88" s="17"/>
    </row>
    <row r="89" spans="1:11" ht="12.75">
      <c r="A89" s="11">
        <v>1661</v>
      </c>
      <c r="B89" s="11">
        <v>1665</v>
      </c>
      <c r="C89" s="5">
        <v>78949.35582</v>
      </c>
      <c r="D89" s="5">
        <v>22584.607952900184</v>
      </c>
      <c r="E89" s="4"/>
      <c r="F89" s="4">
        <f>C89+D89+E89</f>
        <v>101533.96377290018</v>
      </c>
      <c r="G89" s="5"/>
      <c r="H89" s="5"/>
      <c r="I89" s="5"/>
      <c r="J89" s="17"/>
      <c r="K89" s="17">
        <f>F89/(($F$54+$F$55)/2)*100</f>
        <v>49.15296111772474</v>
      </c>
    </row>
    <row r="90" spans="1:11" ht="12.75">
      <c r="A90" s="11">
        <v>1666</v>
      </c>
      <c r="B90" s="11">
        <v>1670</v>
      </c>
      <c r="C90" s="5">
        <v>83016.31142</v>
      </c>
      <c r="D90" s="5">
        <v>35513.84548855786</v>
      </c>
      <c r="E90" s="4"/>
      <c r="F90" s="4">
        <f>C90+D90+E90</f>
        <v>118530.15690855787</v>
      </c>
      <c r="G90" s="5"/>
      <c r="H90" s="5"/>
      <c r="I90" s="5"/>
      <c r="J90" s="17"/>
      <c r="K90" s="17">
        <f>F90/(($F$54+$F$55)/2)*100</f>
        <v>57.38088002587336</v>
      </c>
    </row>
    <row r="91" spans="1:11" ht="12.75">
      <c r="A91" s="11"/>
      <c r="B91" s="11"/>
      <c r="C91" s="5"/>
      <c r="D91" s="5"/>
      <c r="E91" s="4"/>
      <c r="F91" s="4"/>
      <c r="G91" s="5"/>
      <c r="H91" s="5"/>
      <c r="I91" s="5"/>
      <c r="J91" s="17"/>
      <c r="K91" s="17"/>
    </row>
    <row r="92" spans="1:11" ht="12.75">
      <c r="A92" s="11">
        <v>1661</v>
      </c>
      <c r="B92" s="11">
        <v>1670</v>
      </c>
      <c r="C92" s="5">
        <f>SUM(C89:C91)/2</f>
        <v>80982.83361999999</v>
      </c>
      <c r="D92" s="5">
        <f>SUM(D89:D91)/2</f>
        <v>29049.22672072902</v>
      </c>
      <c r="E92" s="4"/>
      <c r="F92" s="4"/>
      <c r="G92" s="5"/>
      <c r="H92" s="5"/>
      <c r="I92" s="5"/>
      <c r="J92" s="17"/>
      <c r="K92" s="17">
        <f>SUM(K89:K91)/2</f>
        <v>53.26692057179905</v>
      </c>
    </row>
    <row r="93" spans="1:11" ht="12.75">
      <c r="A93" s="11"/>
      <c r="B93" s="11"/>
      <c r="C93" s="5"/>
      <c r="D93" s="5"/>
      <c r="E93" s="4"/>
      <c r="F93" s="4"/>
      <c r="G93" s="5"/>
      <c r="H93" s="5"/>
      <c r="I93" s="5"/>
      <c r="J93" s="17"/>
      <c r="K93" s="17"/>
    </row>
    <row r="94" spans="1:11" ht="12.75">
      <c r="A94" s="11">
        <v>1671</v>
      </c>
      <c r="B94" s="11">
        <v>1675</v>
      </c>
      <c r="C94" s="5">
        <v>82017.54299999999</v>
      </c>
      <c r="D94" s="5">
        <v>50404.28998903996</v>
      </c>
      <c r="E94" s="4"/>
      <c r="F94" s="4">
        <f>C94+D94+E94</f>
        <v>132421.83298903995</v>
      </c>
      <c r="G94" s="5"/>
      <c r="H94" s="5"/>
      <c r="I94" s="5"/>
      <c r="J94" s="17"/>
      <c r="K94" s="17">
        <f>F94/(($F$54+$F$55)/2)*100</f>
        <v>64.10589093720951</v>
      </c>
    </row>
    <row r="95" spans="1:11" ht="12.75">
      <c r="A95" s="11">
        <v>1676</v>
      </c>
      <c r="B95" s="11">
        <v>1680</v>
      </c>
      <c r="C95" s="5">
        <v>75757.1451</v>
      </c>
      <c r="D95" s="5">
        <v>64139.86661665818</v>
      </c>
      <c r="E95" s="4"/>
      <c r="F95" s="4">
        <f>C95+D95+E95</f>
        <v>139897.0117166582</v>
      </c>
      <c r="G95" s="5"/>
      <c r="H95" s="5"/>
      <c r="I95" s="5"/>
      <c r="J95" s="17"/>
      <c r="K95" s="17">
        <f>F95/(($F$54+$F$55)/2)*100</f>
        <v>67.72465214472507</v>
      </c>
    </row>
    <row r="96" spans="1:11" ht="12.75">
      <c r="A96" s="11"/>
      <c r="B96" s="11"/>
      <c r="C96" s="5"/>
      <c r="D96" s="5"/>
      <c r="F96" s="4"/>
      <c r="G96" s="5"/>
      <c r="H96" s="5"/>
      <c r="I96" s="5"/>
      <c r="J96" s="17"/>
      <c r="K96" s="17"/>
    </row>
    <row r="97" spans="1:11" ht="12.75">
      <c r="A97" s="11">
        <v>1671</v>
      </c>
      <c r="B97" s="11">
        <v>1680</v>
      </c>
      <c r="C97" s="5">
        <f>SUM(C94:C96)/2</f>
        <v>78887.34404999999</v>
      </c>
      <c r="D97" s="5">
        <f>SUM(D94:D96)/2</f>
        <v>57272.07830284907</v>
      </c>
      <c r="F97" s="4"/>
      <c r="G97" s="5"/>
      <c r="H97" s="5"/>
      <c r="I97" s="5"/>
      <c r="J97" s="17"/>
      <c r="K97" s="17">
        <f>SUM(K94:K96)/2</f>
        <v>65.9152715409673</v>
      </c>
    </row>
    <row r="98" spans="1:11" ht="12.75">
      <c r="A98" s="11"/>
      <c r="B98" s="11"/>
      <c r="C98" s="5"/>
      <c r="D98" s="5"/>
      <c r="F98" s="4"/>
      <c r="G98" s="5"/>
      <c r="H98" s="5"/>
      <c r="I98" s="5"/>
      <c r="J98" s="17"/>
      <c r="K98" s="17"/>
    </row>
    <row r="99" spans="1:11" ht="12.75">
      <c r="A99" s="11">
        <v>1681</v>
      </c>
      <c r="B99" s="11">
        <v>1685</v>
      </c>
      <c r="C99" s="5">
        <v>88180.87308</v>
      </c>
      <c r="D99" s="5">
        <v>37823.48475551414</v>
      </c>
      <c r="E99" s="5">
        <v>30492.82556235651</v>
      </c>
      <c r="F99" s="4">
        <f>C99+D99+E99</f>
        <v>156497.18339787066</v>
      </c>
      <c r="G99" s="5"/>
      <c r="H99" s="5"/>
      <c r="I99" s="5"/>
      <c r="J99" s="17"/>
      <c r="K99" s="17">
        <f>F99/(($F$54+$F$55)/2)*100</f>
        <v>75.76085562653941</v>
      </c>
    </row>
    <row r="100" spans="1:11" ht="12.75">
      <c r="A100" s="11">
        <v>1686</v>
      </c>
      <c r="B100" s="11">
        <v>1690</v>
      </c>
      <c r="C100" s="5">
        <v>81005.43286</v>
      </c>
      <c r="D100" s="5">
        <v>31163.995378310432</v>
      </c>
      <c r="E100" s="5">
        <v>31043.499699290573</v>
      </c>
      <c r="F100" s="4">
        <f>C100+D100+E100</f>
        <v>143212.927937601</v>
      </c>
      <c r="J100" s="17"/>
      <c r="K100" s="17">
        <f>F100/(($F$54+$F$55)/2)*100</f>
        <v>69.32989924649475</v>
      </c>
    </row>
    <row r="101" spans="1:11" ht="12.75">
      <c r="A101" s="11"/>
      <c r="B101" s="11"/>
      <c r="C101" s="5"/>
      <c r="D101" s="5"/>
      <c r="F101" s="4"/>
      <c r="J101" s="17"/>
      <c r="K101" s="17"/>
    </row>
    <row r="102" spans="1:11" ht="12.75">
      <c r="A102" s="11">
        <v>1681</v>
      </c>
      <c r="B102" s="11">
        <v>1690</v>
      </c>
      <c r="C102" s="5">
        <f>SUM(C99:C101)/2</f>
        <v>84593.15297</v>
      </c>
      <c r="D102" s="5">
        <f>SUM(D99:D101)/2</f>
        <v>34493.74006691229</v>
      </c>
      <c r="E102" s="5">
        <f>SUM(E99:E101)/2</f>
        <v>30768.162630823543</v>
      </c>
      <c r="F102" s="4"/>
      <c r="J102" s="17"/>
      <c r="K102" s="17">
        <f>SUM(K99:K101)/2</f>
        <v>72.54537743651707</v>
      </c>
    </row>
    <row r="103" spans="1:11" ht="12.75">
      <c r="A103" s="11"/>
      <c r="B103" s="11"/>
      <c r="C103" s="5"/>
      <c r="D103" s="5"/>
      <c r="F103" s="4"/>
      <c r="J103" s="17"/>
      <c r="K103" s="17"/>
    </row>
    <row r="104" spans="1:11" ht="12.75">
      <c r="A104" s="11">
        <v>1691</v>
      </c>
      <c r="B104" s="11">
        <v>1695</v>
      </c>
      <c r="C104" s="5">
        <v>68181.8617</v>
      </c>
      <c r="D104" s="5">
        <v>31863.177140597334</v>
      </c>
      <c r="E104" s="5">
        <v>17500.53750974586</v>
      </c>
      <c r="F104" s="4">
        <f>C104+D104+E104</f>
        <v>117545.57635034318</v>
      </c>
      <c r="J104" s="17"/>
      <c r="K104" s="17">
        <f>F104/(($F$54+$F$55)/2)*100</f>
        <v>56.90424099695257</v>
      </c>
    </row>
    <row r="105" spans="1:11" ht="12.75">
      <c r="A105" s="11">
        <v>1696</v>
      </c>
      <c r="B105" s="11">
        <v>1700</v>
      </c>
      <c r="C105" s="5">
        <v>56884.78298</v>
      </c>
      <c r="D105" s="5">
        <v>26451.048626421707</v>
      </c>
      <c r="E105" s="5">
        <v>12506.019879581907</v>
      </c>
      <c r="F105" s="4">
        <f>C105+D105+E105</f>
        <v>95841.85148600361</v>
      </c>
      <c r="J105" s="17"/>
      <c r="K105" s="17">
        <f>F105/(($F$54+$F$55)/2)*100</f>
        <v>46.39738885875788</v>
      </c>
    </row>
    <row r="106" spans="1:11" ht="12.75">
      <c r="A106" s="11"/>
      <c r="B106" s="11"/>
      <c r="C106" s="5"/>
      <c r="D106" s="5"/>
      <c r="F106" s="4"/>
      <c r="J106" s="17"/>
      <c r="K106" s="17"/>
    </row>
    <row r="107" spans="1:11" ht="12.75">
      <c r="A107" s="11">
        <v>1691</v>
      </c>
      <c r="B107" s="11">
        <v>1700</v>
      </c>
      <c r="C107" s="5">
        <f>SUM(C104:C106)/2</f>
        <v>62533.32234</v>
      </c>
      <c r="D107" s="5">
        <f>SUM(D104:D106)/2</f>
        <v>29157.112883509522</v>
      </c>
      <c r="E107" s="5">
        <f>SUM(E104:E106)/2</f>
        <v>15003.278694663884</v>
      </c>
      <c r="F107" s="4"/>
      <c r="J107" s="17"/>
      <c r="K107" s="17">
        <f>SUM(K104:K106)/2</f>
        <v>51.65081492785522</v>
      </c>
    </row>
    <row r="108" spans="1:11" ht="12.75">
      <c r="A108" s="11"/>
      <c r="B108" s="11"/>
      <c r="C108" s="5"/>
      <c r="D108" s="5"/>
      <c r="F108" s="4"/>
      <c r="J108" s="17"/>
      <c r="K108" s="17"/>
    </row>
    <row r="109" spans="1:11" ht="12.75">
      <c r="A109" s="11">
        <v>1701</v>
      </c>
      <c r="B109" s="11">
        <v>1705</v>
      </c>
      <c r="C109" s="5">
        <v>43642.71746</v>
      </c>
      <c r="D109" s="5">
        <v>31719.16784</v>
      </c>
      <c r="E109" s="5">
        <v>6233.961981420443</v>
      </c>
      <c r="F109" s="4">
        <f>C109+D109+E109</f>
        <v>81595.84728142044</v>
      </c>
      <c r="J109" s="17"/>
      <c r="K109" s="17">
        <f>F109/(($F$54+$F$55)/2)*100</f>
        <v>39.50084641393593</v>
      </c>
    </row>
    <row r="110" spans="1:11" ht="12.75">
      <c r="A110" s="11">
        <v>1706</v>
      </c>
      <c r="B110" s="11">
        <v>1710</v>
      </c>
      <c r="C110" s="5">
        <v>43950.71152</v>
      </c>
      <c r="D110" s="5">
        <v>36757.8</v>
      </c>
      <c r="E110" s="5">
        <v>6933.621102977202</v>
      </c>
      <c r="F110" s="4">
        <f>C110+D110+E110</f>
        <v>87642.1326229772</v>
      </c>
      <c r="J110" s="17"/>
      <c r="K110" s="17">
        <f>F110/(($F$54+$F$55)/2)*100</f>
        <v>42.4278751367083</v>
      </c>
    </row>
    <row r="111" spans="1:11" ht="12.75">
      <c r="A111" s="11"/>
      <c r="B111" s="11"/>
      <c r="C111" s="5"/>
      <c r="F111" s="4"/>
      <c r="J111" s="17"/>
      <c r="K111" s="17"/>
    </row>
    <row r="112" spans="1:11" ht="12.75">
      <c r="A112" s="11">
        <v>1701</v>
      </c>
      <c r="B112" s="11">
        <v>1710</v>
      </c>
      <c r="C112" s="5">
        <f>SUM(C109:C111)/2</f>
        <v>43796.71449</v>
      </c>
      <c r="D112" s="5">
        <f>SUM(D109:D111)/2</f>
        <v>34238.48392</v>
      </c>
      <c r="E112" s="5">
        <f>SUM(E109:E111)/2</f>
        <v>6583.791542198823</v>
      </c>
      <c r="F112" s="4"/>
      <c r="J112" s="17"/>
      <c r="K112" s="17">
        <f>SUM(K109:K111)/2</f>
        <v>40.96436077532212</v>
      </c>
    </row>
    <row r="113" spans="1:11" ht="12.75">
      <c r="A113" s="11"/>
      <c r="B113" s="11"/>
      <c r="C113" s="5"/>
      <c r="F113" s="4"/>
      <c r="J113" s="17"/>
      <c r="K113" s="17"/>
    </row>
    <row r="114" spans="1:11" ht="12.75">
      <c r="A114" s="11">
        <v>1711</v>
      </c>
      <c r="B114" s="11">
        <v>1715</v>
      </c>
      <c r="C114" s="5">
        <v>30990.864219999996</v>
      </c>
      <c r="E114" s="5">
        <v>4509.575855719535</v>
      </c>
      <c r="F114" s="4"/>
      <c r="J114" s="17"/>
      <c r="K114" s="17"/>
    </row>
    <row r="115" spans="1:11" ht="12.75">
      <c r="A115" s="11">
        <v>1716</v>
      </c>
      <c r="B115" s="11">
        <v>1720</v>
      </c>
      <c r="C115" s="5">
        <v>36332.72554</v>
      </c>
      <c r="D115" s="1"/>
      <c r="E115" s="5">
        <v>3957.136</v>
      </c>
      <c r="F115" s="4"/>
      <c r="J115" s="17"/>
      <c r="K115" s="17"/>
    </row>
    <row r="116" spans="1:11" ht="12.75">
      <c r="A116" s="11"/>
      <c r="B116" s="11"/>
      <c r="C116" s="5"/>
      <c r="D116" s="1"/>
      <c r="F116" s="4"/>
      <c r="J116" s="17"/>
      <c r="K116" s="17"/>
    </row>
    <row r="117" spans="1:11" ht="12.75">
      <c r="A117" s="11">
        <v>1711</v>
      </c>
      <c r="B117" s="11">
        <v>1720</v>
      </c>
      <c r="C117" s="5">
        <f>SUM(C114:C116)/2</f>
        <v>33661.79488</v>
      </c>
      <c r="D117" s="1"/>
      <c r="E117" s="5">
        <f>SUM(E114:E116)</f>
        <v>8466.711855719535</v>
      </c>
      <c r="F117" s="4"/>
      <c r="J117" s="17"/>
      <c r="K117" s="17"/>
    </row>
    <row r="118" spans="1:11" ht="12.75">
      <c r="A118" s="11"/>
      <c r="B118" s="11"/>
      <c r="C118" s="5"/>
      <c r="D118" s="1"/>
      <c r="F118" s="4"/>
      <c r="J118" s="17"/>
      <c r="K118" s="17"/>
    </row>
    <row r="119" spans="1:11" ht="12.75">
      <c r="A119" s="11">
        <v>1721</v>
      </c>
      <c r="B119" s="11">
        <v>1725</v>
      </c>
      <c r="C119" s="5">
        <v>28828.05342</v>
      </c>
      <c r="D119" s="1"/>
      <c r="E119" s="4"/>
      <c r="F119" s="4"/>
      <c r="J119" s="17"/>
      <c r="K119" s="17"/>
    </row>
    <row r="120" spans="1:11" ht="12.75">
      <c r="A120" s="11">
        <v>1726</v>
      </c>
      <c r="B120" s="11">
        <v>1730</v>
      </c>
      <c r="C120" s="5">
        <v>39046.72182</v>
      </c>
      <c r="D120" s="1"/>
      <c r="E120" s="4"/>
      <c r="F120" s="4"/>
      <c r="J120" s="17"/>
      <c r="K120" s="17"/>
    </row>
    <row r="121" spans="1:11" ht="12.75">
      <c r="A121" s="11"/>
      <c r="B121" s="11"/>
      <c r="C121" s="5"/>
      <c r="D121" s="1"/>
      <c r="E121" s="4"/>
      <c r="F121" s="4"/>
      <c r="J121" s="17"/>
      <c r="K121" s="17"/>
    </row>
    <row r="122" spans="1:11" ht="12.75">
      <c r="A122" s="11">
        <v>1721</v>
      </c>
      <c r="B122" s="11">
        <v>1730</v>
      </c>
      <c r="C122" s="5">
        <f>SUM(C119:C121)/2</f>
        <v>33937.38762</v>
      </c>
      <c r="D122" s="1"/>
      <c r="E122" s="4"/>
      <c r="F122" s="4"/>
      <c r="J122" s="17"/>
      <c r="K122" s="17"/>
    </row>
    <row r="123" spans="1:11" ht="12.75">
      <c r="A123" s="11"/>
      <c r="B123" s="11"/>
      <c r="C123" s="5"/>
      <c r="D123" s="1"/>
      <c r="E123" s="4"/>
      <c r="F123" s="4"/>
      <c r="J123" s="17"/>
      <c r="K123" s="17"/>
    </row>
    <row r="124" spans="1:11" ht="12.75">
      <c r="A124" s="11">
        <v>1731</v>
      </c>
      <c r="B124" s="11">
        <v>1735</v>
      </c>
      <c r="C124" s="5">
        <v>36668.58291999999</v>
      </c>
      <c r="D124" s="1"/>
      <c r="E124" s="4"/>
      <c r="F124" s="4"/>
      <c r="J124" s="17"/>
      <c r="K124" s="17"/>
    </row>
    <row r="125" spans="1:11" ht="12.75">
      <c r="A125" s="11">
        <v>1736</v>
      </c>
      <c r="B125" s="11">
        <v>1740</v>
      </c>
      <c r="C125" s="5">
        <v>44428.956643000005</v>
      </c>
      <c r="D125" s="1"/>
      <c r="E125" s="4"/>
      <c r="F125" s="4"/>
      <c r="J125" s="17"/>
      <c r="K125" s="17"/>
    </row>
    <row r="127" spans="1:3" ht="12.75">
      <c r="A127" s="11">
        <v>1731</v>
      </c>
      <c r="B127" s="8">
        <v>1740</v>
      </c>
      <c r="C127" s="5">
        <f>SUM(C124:C126)/2</f>
        <v>40548.7697815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zoomScale="90" zoomScaleNormal="90" zoomScalePageLayoutView="0" workbookViewId="0" topLeftCell="A1">
      <selection activeCell="B56" sqref="B56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3.421875" style="0" customWidth="1"/>
    <col min="5" max="5" width="16.140625" style="0" customWidth="1"/>
    <col min="6" max="6" width="10.8515625" style="5" customWidth="1"/>
    <col min="7" max="7" width="14.00390625" style="0" customWidth="1"/>
    <col min="8" max="8" width="9.7109375" style="5" customWidth="1"/>
    <col min="9" max="9" width="8.421875" style="5" customWidth="1"/>
    <col min="10" max="10" width="10.421875" style="4" customWidth="1"/>
  </cols>
  <sheetData>
    <row r="1" spans="1:2" ht="12.75">
      <c r="A1" s="11"/>
      <c r="B1" s="1" t="s">
        <v>520</v>
      </c>
    </row>
    <row r="2" spans="1:2" ht="12.75">
      <c r="A2" s="11"/>
      <c r="B2" s="1" t="s">
        <v>12</v>
      </c>
    </row>
    <row r="3" spans="1:2" ht="12.75">
      <c r="A3" s="11"/>
      <c r="B3" s="5"/>
    </row>
    <row r="4" spans="1:10" ht="12.75">
      <c r="A4" s="11" t="s">
        <v>577</v>
      </c>
      <c r="B4" s="4" t="s">
        <v>505</v>
      </c>
      <c r="C4" s="4" t="s">
        <v>537</v>
      </c>
      <c r="D4" s="4" t="s">
        <v>244</v>
      </c>
      <c r="E4" s="4" t="s">
        <v>244</v>
      </c>
      <c r="F4" s="4" t="s">
        <v>524</v>
      </c>
      <c r="G4" s="3" t="s">
        <v>317</v>
      </c>
      <c r="H4" s="4" t="s">
        <v>569</v>
      </c>
      <c r="I4" s="4"/>
      <c r="J4" s="4" t="s">
        <v>552</v>
      </c>
    </row>
    <row r="5" spans="1:10" ht="12.75">
      <c r="A5" s="11"/>
      <c r="B5" s="4" t="s">
        <v>281</v>
      </c>
      <c r="C5" s="4" t="s">
        <v>281</v>
      </c>
      <c r="D5" s="4" t="s">
        <v>363</v>
      </c>
      <c r="E5" s="3" t="s">
        <v>390</v>
      </c>
      <c r="F5" s="4" t="s">
        <v>307</v>
      </c>
      <c r="G5" s="3" t="s">
        <v>450</v>
      </c>
      <c r="H5" s="4" t="s">
        <v>509</v>
      </c>
      <c r="I5" s="4"/>
      <c r="J5" s="4" t="s">
        <v>284</v>
      </c>
    </row>
    <row r="6" spans="5:9" ht="12.75">
      <c r="E6" s="3" t="s">
        <v>383</v>
      </c>
      <c r="F6" s="4" t="s">
        <v>540</v>
      </c>
      <c r="G6" s="3" t="s">
        <v>8</v>
      </c>
      <c r="H6" s="4"/>
      <c r="I6" s="4"/>
    </row>
    <row r="7" spans="1:10" ht="12.75">
      <c r="A7" s="11"/>
      <c r="B7" s="4" t="s">
        <v>331</v>
      </c>
      <c r="C7" s="4" t="s">
        <v>331</v>
      </c>
      <c r="D7" s="4" t="s">
        <v>331</v>
      </c>
      <c r="E7" s="4" t="s">
        <v>331</v>
      </c>
      <c r="F7" s="4" t="s">
        <v>331</v>
      </c>
      <c r="G7" s="4" t="s">
        <v>331</v>
      </c>
      <c r="H7" s="4" t="s">
        <v>331</v>
      </c>
      <c r="I7" s="4"/>
      <c r="J7" s="4" t="s">
        <v>331</v>
      </c>
    </row>
    <row r="8" spans="6:10" ht="12.75">
      <c r="F8"/>
      <c r="H8"/>
      <c r="I8"/>
      <c r="J8"/>
    </row>
    <row r="10" spans="1:10" ht="12.75">
      <c r="A10" s="11" t="s">
        <v>17</v>
      </c>
      <c r="B10" s="5">
        <v>4360.939840000001</v>
      </c>
      <c r="E10" s="2">
        <v>4500</v>
      </c>
      <c r="H10" s="5">
        <v>4112.5</v>
      </c>
      <c r="J10" s="5">
        <f aca="true" t="shared" si="0" ref="J10:J25">SUM(B10:H10)</f>
        <v>12973.439840000001</v>
      </c>
    </row>
    <row r="11" spans="1:10" ht="12.75">
      <c r="A11" s="11" t="s">
        <v>20</v>
      </c>
      <c r="B11" s="5">
        <v>10317.459600000002</v>
      </c>
      <c r="E11" s="2">
        <v>4250</v>
      </c>
      <c r="H11" s="5">
        <v>7354</v>
      </c>
      <c r="J11" s="5">
        <f t="shared" si="0"/>
        <v>21921.459600000002</v>
      </c>
    </row>
    <row r="12" spans="1:10" ht="12.75">
      <c r="A12" s="11" t="s">
        <v>23</v>
      </c>
      <c r="B12" s="5">
        <v>3743.296</v>
      </c>
      <c r="E12" s="2">
        <v>4000</v>
      </c>
      <c r="G12" s="2">
        <v>1800</v>
      </c>
      <c r="H12" s="5">
        <v>9745.8</v>
      </c>
      <c r="J12" s="5">
        <f t="shared" si="0"/>
        <v>19289.095999999998</v>
      </c>
    </row>
    <row r="13" spans="1:10" ht="12.75">
      <c r="A13" s="11" t="s">
        <v>26</v>
      </c>
      <c r="B13" s="5">
        <v>2770.03904</v>
      </c>
      <c r="E13" s="2">
        <v>3750</v>
      </c>
      <c r="G13" s="2">
        <v>3523</v>
      </c>
      <c r="H13" s="5">
        <v>12751</v>
      </c>
      <c r="J13" s="5">
        <f t="shared" si="0"/>
        <v>22794.03904</v>
      </c>
    </row>
    <row r="14" spans="1:10" ht="12.75">
      <c r="A14" s="11" t="s">
        <v>31</v>
      </c>
      <c r="B14" s="5">
        <v>3757.3333599999996</v>
      </c>
      <c r="E14" s="2">
        <v>3500</v>
      </c>
      <c r="F14" s="5">
        <v>1957.1246072463052</v>
      </c>
      <c r="G14" s="2">
        <v>3523</v>
      </c>
      <c r="H14" s="5">
        <v>12422.75</v>
      </c>
      <c r="J14" s="5">
        <f t="shared" si="0"/>
        <v>25160.207967246304</v>
      </c>
    </row>
    <row r="15" spans="1:10" ht="12.75">
      <c r="A15" s="11" t="s">
        <v>33</v>
      </c>
      <c r="B15" s="5">
        <v>4641.68704</v>
      </c>
      <c r="E15" s="2">
        <v>3250</v>
      </c>
      <c r="F15" s="5">
        <v>1957.124607246305</v>
      </c>
      <c r="G15" s="2">
        <v>3795.86</v>
      </c>
      <c r="H15" s="5">
        <v>12094.5</v>
      </c>
      <c r="J15" s="5">
        <f t="shared" si="0"/>
        <v>25739.171647246305</v>
      </c>
    </row>
    <row r="16" spans="1:10" ht="12.75">
      <c r="A16" s="11" t="s">
        <v>36</v>
      </c>
      <c r="B16" s="5">
        <v>8979.23128</v>
      </c>
      <c r="E16" s="2">
        <v>3000</v>
      </c>
      <c r="F16" s="5">
        <v>2870.466963277529</v>
      </c>
      <c r="G16" s="2">
        <v>4068.7</v>
      </c>
      <c r="H16" s="5">
        <v>11766.25</v>
      </c>
      <c r="J16" s="5">
        <f t="shared" si="0"/>
        <v>30684.64824327753</v>
      </c>
    </row>
    <row r="17" spans="1:10" ht="12.75">
      <c r="A17" s="11" t="s">
        <v>40</v>
      </c>
      <c r="B17" s="5">
        <v>7416.405199999999</v>
      </c>
      <c r="C17" s="5">
        <v>4626.18979456</v>
      </c>
      <c r="D17" s="5"/>
      <c r="E17" s="2">
        <v>2750</v>
      </c>
      <c r="F17" s="5">
        <v>3990.755712111541</v>
      </c>
      <c r="G17" s="2">
        <v>4341.57</v>
      </c>
      <c r="H17" s="5">
        <v>11438</v>
      </c>
      <c r="J17" s="5">
        <f t="shared" si="0"/>
        <v>34562.920706671546</v>
      </c>
    </row>
    <row r="18" spans="1:10" ht="12.75">
      <c r="A18" s="11" t="s">
        <v>43</v>
      </c>
      <c r="B18" s="5">
        <v>6925.097599999999</v>
      </c>
      <c r="C18" s="5">
        <v>5713.417250180001</v>
      </c>
      <c r="D18" s="5"/>
      <c r="E18" s="2">
        <v>2500</v>
      </c>
      <c r="F18" s="5">
        <v>3632.1117727919873</v>
      </c>
      <c r="G18" s="2">
        <v>4614.43</v>
      </c>
      <c r="H18" s="5">
        <v>11109.75</v>
      </c>
      <c r="J18" s="5">
        <f t="shared" si="0"/>
        <v>34494.806622971984</v>
      </c>
    </row>
    <row r="19" spans="1:10" ht="12.75">
      <c r="A19" s="11" t="s">
        <v>46</v>
      </c>
      <c r="B19" s="5">
        <v>5189.14408</v>
      </c>
      <c r="C19" s="5">
        <v>6079.43088416</v>
      </c>
      <c r="D19" s="5">
        <v>3969.9973207439994</v>
      </c>
      <c r="E19" s="2">
        <v>2250</v>
      </c>
      <c r="F19" s="5">
        <v>1983.065256026314</v>
      </c>
      <c r="G19" s="2">
        <v>4887.29</v>
      </c>
      <c r="H19" s="5">
        <v>10781.5</v>
      </c>
      <c r="J19" s="5">
        <f t="shared" si="0"/>
        <v>35140.427540930315</v>
      </c>
    </row>
    <row r="20" spans="1:10" ht="12.75">
      <c r="A20" s="11" t="s">
        <v>50</v>
      </c>
      <c r="B20" s="5">
        <v>3701.1839199999995</v>
      </c>
      <c r="C20" s="5">
        <v>6301.72651712</v>
      </c>
      <c r="D20" s="5">
        <v>9703.235990448</v>
      </c>
      <c r="E20" s="2">
        <v>2000</v>
      </c>
      <c r="F20" s="5">
        <v>2486.461172615248</v>
      </c>
      <c r="G20" s="2">
        <v>5160.14</v>
      </c>
      <c r="H20" s="5">
        <v>10453.25</v>
      </c>
      <c r="J20" s="5">
        <f t="shared" si="0"/>
        <v>39805.99760018324</v>
      </c>
    </row>
    <row r="21" spans="1:10" ht="12.75">
      <c r="A21" s="11" t="s">
        <v>53</v>
      </c>
      <c r="B21" s="5">
        <v>3425.11584</v>
      </c>
      <c r="C21" s="5">
        <v>7889.1554100799995</v>
      </c>
      <c r="D21" s="5">
        <v>13795.323554376</v>
      </c>
      <c r="E21" s="2">
        <v>2000</v>
      </c>
      <c r="F21" s="5">
        <v>2269.149043890225</v>
      </c>
      <c r="G21" s="2">
        <v>5433</v>
      </c>
      <c r="H21" s="5">
        <v>10125</v>
      </c>
      <c r="J21" s="5">
        <f t="shared" si="0"/>
        <v>44936.743848346225</v>
      </c>
    </row>
    <row r="22" spans="1:10" ht="12.75">
      <c r="A22" s="11" t="s">
        <v>56</v>
      </c>
      <c r="B22" s="5">
        <v>6663.06688</v>
      </c>
      <c r="C22" s="5">
        <v>6300.9</v>
      </c>
      <c r="D22" s="5">
        <v>16554.809006736</v>
      </c>
      <c r="E22" s="2">
        <v>2000</v>
      </c>
      <c r="F22" s="5">
        <v>2269.149043890225</v>
      </c>
      <c r="G22" s="2">
        <v>5433</v>
      </c>
      <c r="H22" s="5">
        <v>10125</v>
      </c>
      <c r="J22" s="5">
        <f t="shared" si="0"/>
        <v>49345.92493062622</v>
      </c>
    </row>
    <row r="23" spans="1:10" ht="12.75">
      <c r="A23" s="11" t="s">
        <v>60</v>
      </c>
      <c r="B23" s="5">
        <v>14973.184</v>
      </c>
      <c r="C23" s="5">
        <v>5734.066098</v>
      </c>
      <c r="D23" s="5">
        <v>13248.013870728002</v>
      </c>
      <c r="E23" s="2">
        <v>3947</v>
      </c>
      <c r="F23" s="5">
        <v>2243.576720752123</v>
      </c>
      <c r="G23" s="2">
        <v>5433</v>
      </c>
      <c r="H23" s="5">
        <v>10125</v>
      </c>
      <c r="J23" s="5">
        <f t="shared" si="0"/>
        <v>55703.84068948012</v>
      </c>
    </row>
    <row r="24" spans="1:10" ht="12.75">
      <c r="A24" s="11" t="s">
        <v>63</v>
      </c>
      <c r="B24" s="5">
        <v>7739.26448</v>
      </c>
      <c r="C24" s="5">
        <v>6143.99806104</v>
      </c>
      <c r="D24" s="5">
        <v>10936.849724528</v>
      </c>
      <c r="E24" s="2">
        <v>3997</v>
      </c>
      <c r="F24" s="5">
        <v>2141.550517943934</v>
      </c>
      <c r="G24" s="2">
        <v>5433</v>
      </c>
      <c r="H24" s="5">
        <v>9963.493008394786</v>
      </c>
      <c r="J24" s="5">
        <f t="shared" si="0"/>
        <v>46355.15579190672</v>
      </c>
    </row>
    <row r="25" spans="1:10" ht="12.75">
      <c r="A25" s="11" t="s">
        <v>66</v>
      </c>
      <c r="B25" s="5">
        <v>4131.66296</v>
      </c>
      <c r="C25" s="5">
        <v>6576.1990172000005</v>
      </c>
      <c r="D25" s="5">
        <v>10936.849724528</v>
      </c>
      <c r="E25" s="2">
        <v>700</v>
      </c>
      <c r="F25" s="5">
        <v>2141.550517943934</v>
      </c>
      <c r="G25" s="2">
        <v>5433</v>
      </c>
      <c r="H25" s="5">
        <v>9963.493008394786</v>
      </c>
      <c r="J25" s="5">
        <f t="shared" si="0"/>
        <v>39882.75522806672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28"/>
  </sheetPr>
  <dimension ref="A1:K37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3" width="14.8515625" style="0" customWidth="1"/>
    <col min="4" max="4" width="14.8515625" style="5" customWidth="1"/>
    <col min="5" max="5" width="14.8515625" style="0" customWidth="1"/>
    <col min="6" max="6" width="13.8515625" style="0" customWidth="1"/>
    <col min="7" max="7" width="16.8515625" style="0" customWidth="1"/>
    <col min="8" max="8" width="13.28125" style="0" customWidth="1"/>
    <col min="9" max="9" width="14.28125" style="0" customWidth="1"/>
    <col min="10" max="10" width="15.8515625" style="0" customWidth="1"/>
    <col min="11" max="11" width="15.140625" style="0" customWidth="1"/>
  </cols>
  <sheetData>
    <row r="1" spans="1:11" ht="12.75">
      <c r="A1" s="11"/>
      <c r="B1" s="1" t="s">
        <v>445</v>
      </c>
      <c r="D1" s="4"/>
      <c r="E1" s="4"/>
      <c r="F1" s="5"/>
      <c r="G1" s="5"/>
      <c r="H1" s="5"/>
      <c r="I1" s="5"/>
      <c r="J1" s="17"/>
      <c r="K1" s="19"/>
    </row>
    <row r="2" spans="1:11" ht="12.75">
      <c r="A2" s="11"/>
      <c r="B2" s="1" t="s">
        <v>207</v>
      </c>
      <c r="D2" s="4"/>
      <c r="E2" s="4"/>
      <c r="F2" s="5"/>
      <c r="G2" s="5"/>
      <c r="H2" s="5"/>
      <c r="I2" s="5"/>
      <c r="J2" s="17"/>
      <c r="K2" s="19"/>
    </row>
    <row r="3" spans="1:11" ht="12.75">
      <c r="A3" s="11"/>
      <c r="B3" s="1" t="s">
        <v>327</v>
      </c>
      <c r="D3" s="4"/>
      <c r="E3" s="4"/>
      <c r="F3" s="5"/>
      <c r="G3" s="5"/>
      <c r="H3" s="5"/>
      <c r="I3" s="5"/>
      <c r="J3" s="17"/>
      <c r="K3" s="19"/>
    </row>
    <row r="4" spans="1:11" ht="12.75">
      <c r="A4" s="11"/>
      <c r="B4" s="11"/>
      <c r="D4" s="4"/>
      <c r="E4" s="4"/>
      <c r="F4" s="5"/>
      <c r="G4" s="5"/>
      <c r="H4" s="5"/>
      <c r="I4" s="5"/>
      <c r="J4" s="17"/>
      <c r="K4" s="19"/>
    </row>
    <row r="5" spans="1:11" ht="12.75">
      <c r="A5" s="11"/>
      <c r="B5" s="11"/>
      <c r="C5" s="1" t="s">
        <v>487</v>
      </c>
      <c r="D5" s="4" t="s">
        <v>581</v>
      </c>
      <c r="E5" s="4" t="s">
        <v>525</v>
      </c>
      <c r="F5" s="4" t="s">
        <v>557</v>
      </c>
      <c r="G5" s="4" t="s">
        <v>431</v>
      </c>
      <c r="H5" s="4" t="s">
        <v>429</v>
      </c>
      <c r="I5" s="4" t="s">
        <v>429</v>
      </c>
      <c r="J5" s="18" t="s">
        <v>347</v>
      </c>
      <c r="K5" s="20" t="s">
        <v>346</v>
      </c>
    </row>
    <row r="6" spans="1:11" ht="12.75">
      <c r="A6" s="11" t="s">
        <v>575</v>
      </c>
      <c r="B6" s="11" t="s">
        <v>575</v>
      </c>
      <c r="C6" s="1" t="s">
        <v>519</v>
      </c>
      <c r="D6" s="4" t="s">
        <v>519</v>
      </c>
      <c r="E6" s="4" t="s">
        <v>519</v>
      </c>
      <c r="F6" s="4" t="s">
        <v>518</v>
      </c>
      <c r="G6" s="4" t="s">
        <v>246</v>
      </c>
      <c r="H6" s="4" t="s">
        <v>312</v>
      </c>
      <c r="I6" s="4" t="s">
        <v>516</v>
      </c>
      <c r="J6" s="18" t="s">
        <v>324</v>
      </c>
      <c r="K6" s="20" t="s">
        <v>444</v>
      </c>
    </row>
    <row r="7" spans="1:11" ht="12.75">
      <c r="A7" s="11" t="s">
        <v>242</v>
      </c>
      <c r="B7" s="11" t="s">
        <v>276</v>
      </c>
      <c r="C7" s="1" t="s">
        <v>331</v>
      </c>
      <c r="D7" s="4" t="s">
        <v>331</v>
      </c>
      <c r="E7" s="4" t="s">
        <v>331</v>
      </c>
      <c r="F7" s="4" t="s">
        <v>467</v>
      </c>
      <c r="G7" s="4" t="s">
        <v>325</v>
      </c>
      <c r="H7" s="4" t="s">
        <v>329</v>
      </c>
      <c r="I7" s="4" t="s">
        <v>329</v>
      </c>
      <c r="J7" s="18" t="s">
        <v>81</v>
      </c>
      <c r="K7" s="20" t="s">
        <v>81</v>
      </c>
    </row>
    <row r="9" spans="1:11" ht="12.75">
      <c r="A9" s="11">
        <v>1501</v>
      </c>
      <c r="B9" s="11">
        <v>1510</v>
      </c>
      <c r="D9" s="4"/>
      <c r="E9" s="4"/>
      <c r="F9" s="5"/>
      <c r="G9" s="5">
        <v>148411.48</v>
      </c>
      <c r="H9" s="5">
        <v>620.65</v>
      </c>
      <c r="I9" s="5"/>
      <c r="J9" s="17"/>
      <c r="K9" s="19"/>
    </row>
    <row r="10" spans="1:11" ht="12.75">
      <c r="A10" s="11">
        <v>1511</v>
      </c>
      <c r="B10" s="11">
        <v>1520</v>
      </c>
      <c r="D10" s="4"/>
      <c r="E10" s="4"/>
      <c r="F10" s="5"/>
      <c r="G10" s="5">
        <v>218875</v>
      </c>
      <c r="H10" s="5">
        <v>915.3219999999999</v>
      </c>
      <c r="I10" s="5"/>
      <c r="J10" s="17"/>
      <c r="K10" s="19"/>
    </row>
    <row r="11" spans="1:11" ht="12.75">
      <c r="A11" s="11">
        <v>1521</v>
      </c>
      <c r="B11" s="11">
        <v>1530</v>
      </c>
      <c r="D11" s="4"/>
      <c r="E11" s="4"/>
      <c r="F11" s="5"/>
      <c r="G11" s="5">
        <v>117260.7</v>
      </c>
      <c r="H11" s="5">
        <v>488.905</v>
      </c>
      <c r="I11" s="5">
        <v>14.8739</v>
      </c>
      <c r="J11" s="17">
        <v>0.005493335157632198</v>
      </c>
      <c r="K11" s="19"/>
    </row>
    <row r="12" spans="1:11" ht="12.75">
      <c r="A12" s="11">
        <v>1531</v>
      </c>
      <c r="B12" s="11">
        <v>1540</v>
      </c>
      <c r="D12" s="4"/>
      <c r="E12" s="4"/>
      <c r="F12" s="5"/>
      <c r="G12" s="5">
        <v>558812.3</v>
      </c>
      <c r="H12" s="5">
        <v>1446.636</v>
      </c>
      <c r="I12" s="5">
        <v>8619.3876</v>
      </c>
      <c r="J12" s="17">
        <v>3.1833738925459363</v>
      </c>
      <c r="K12" s="19"/>
    </row>
    <row r="13" spans="1:11" ht="12.75">
      <c r="A13" s="11">
        <v>1541</v>
      </c>
      <c r="B13" s="11">
        <v>1550</v>
      </c>
      <c r="D13" s="4"/>
      <c r="E13" s="4"/>
      <c r="F13" s="5"/>
      <c r="G13" s="5">
        <f>SUM(G10:G12)/2</f>
        <v>447474</v>
      </c>
      <c r="H13" s="5">
        <f>SUM(H10:H12)/2</f>
        <v>1425.4315</v>
      </c>
      <c r="I13" s="5">
        <f>SUM(I10:I12)/2</f>
        <v>4317.13075</v>
      </c>
      <c r="J13" s="17">
        <f>SUM(J10:J12)/2</f>
        <v>1.5944336138517843</v>
      </c>
      <c r="K13" s="19"/>
    </row>
    <row r="14" spans="1:11" ht="12.75">
      <c r="A14" s="11">
        <v>1551</v>
      </c>
      <c r="B14" s="11">
        <v>1560</v>
      </c>
      <c r="C14" s="5">
        <v>59592.31260999999</v>
      </c>
      <c r="D14" s="5">
        <v>21294.67845</v>
      </c>
      <c r="E14" s="4"/>
      <c r="F14" s="5">
        <f aca="true" t="shared" si="0" ref="F14:F32">C14+D14+E14</f>
        <v>80886.99106</v>
      </c>
      <c r="G14" s="5">
        <v>1786452.95</v>
      </c>
      <c r="H14" s="5">
        <v>4262.008</v>
      </c>
      <c r="I14" s="5">
        <v>30312.117399999996</v>
      </c>
      <c r="J14" s="17">
        <v>11.195088054625527</v>
      </c>
      <c r="K14" s="17">
        <v>34.0032708984987</v>
      </c>
    </row>
    <row r="15" spans="1:11" ht="12.75">
      <c r="A15" s="11">
        <v>1561</v>
      </c>
      <c r="B15" s="11">
        <v>1570</v>
      </c>
      <c r="C15" s="5">
        <v>53899.11933</v>
      </c>
      <c r="D15" s="5">
        <v>29629.7365</v>
      </c>
      <c r="E15" s="4"/>
      <c r="F15" s="5">
        <f t="shared" si="0"/>
        <v>83528.85583</v>
      </c>
      <c r="G15" s="5">
        <v>2534875.1</v>
      </c>
      <c r="H15" s="5">
        <v>1153.094</v>
      </c>
      <c r="I15" s="5">
        <v>94285.8792</v>
      </c>
      <c r="J15" s="17">
        <v>34.822335438427196</v>
      </c>
      <c r="K15" s="17">
        <v>40.436622882203</v>
      </c>
    </row>
    <row r="16" spans="1:11" ht="12.75">
      <c r="A16" s="11">
        <v>1571</v>
      </c>
      <c r="B16" s="11">
        <v>1580</v>
      </c>
      <c r="C16" s="5">
        <v>74023.26606</v>
      </c>
      <c r="D16" s="5">
        <v>33157.294075</v>
      </c>
      <c r="E16" s="4"/>
      <c r="F16" s="5">
        <f t="shared" si="0"/>
        <v>107180.56013499999</v>
      </c>
      <c r="G16" s="5">
        <v>2915855</v>
      </c>
      <c r="H16" s="5">
        <v>942.9139999999998</v>
      </c>
      <c r="I16" s="5">
        <v>111859.1954</v>
      </c>
      <c r="J16" s="17">
        <v>41.31263829898478</v>
      </c>
      <c r="K16" s="17">
        <v>51.88649895196673</v>
      </c>
    </row>
    <row r="17" spans="1:11" ht="12.75">
      <c r="A17" s="11">
        <v>1581</v>
      </c>
      <c r="B17" s="11">
        <v>1590</v>
      </c>
      <c r="C17" s="5">
        <v>172618.98528</v>
      </c>
      <c r="D17" s="5">
        <v>28013.224538186965</v>
      </c>
      <c r="E17" s="4"/>
      <c r="F17" s="5">
        <f t="shared" si="0"/>
        <v>200632.20981818697</v>
      </c>
      <c r="G17" s="5">
        <v>5320724.25</v>
      </c>
      <c r="H17" s="5">
        <v>1210.165</v>
      </c>
      <c r="I17" s="5">
        <v>210302.76889999997</v>
      </c>
      <c r="J17" s="17">
        <v>77.67052314092261</v>
      </c>
      <c r="K17" s="17">
        <v>97.12678242537649</v>
      </c>
    </row>
    <row r="18" spans="1:11" ht="12.75">
      <c r="A18" s="11">
        <v>1591</v>
      </c>
      <c r="B18" s="11">
        <v>1600</v>
      </c>
      <c r="C18" s="5">
        <v>181063.20492</v>
      </c>
      <c r="D18" s="5">
        <v>25504.133982979434</v>
      </c>
      <c r="E18" s="4"/>
      <c r="F18" s="5">
        <f t="shared" si="0"/>
        <v>206567.33890297942</v>
      </c>
      <c r="G18" s="5">
        <v>6961336.3</v>
      </c>
      <c r="H18" s="5">
        <v>1945.1419999999998</v>
      </c>
      <c r="I18" s="5">
        <v>270762.65280000004</v>
      </c>
      <c r="J18" s="17">
        <v>100</v>
      </c>
      <c r="K18" s="17">
        <v>100</v>
      </c>
    </row>
    <row r="19" spans="1:11" ht="12.75">
      <c r="A19" s="11">
        <v>1601</v>
      </c>
      <c r="B19" s="11">
        <v>1610</v>
      </c>
      <c r="C19" s="5">
        <v>170871.74182999996</v>
      </c>
      <c r="D19" s="5">
        <v>31928.82344</v>
      </c>
      <c r="E19" s="4"/>
      <c r="F19" s="5">
        <f t="shared" si="0"/>
        <v>202800.56526999996</v>
      </c>
      <c r="G19" s="5">
        <v>5580853.5</v>
      </c>
      <c r="H19" s="5">
        <v>1176.409</v>
      </c>
      <c r="I19" s="5">
        <v>221363.1245</v>
      </c>
      <c r="J19" s="17">
        <v>81.75541279820108</v>
      </c>
      <c r="K19" s="17">
        <v>98.1764911854005</v>
      </c>
    </row>
    <row r="20" spans="1:11" ht="12.75">
      <c r="A20" s="11">
        <v>1611</v>
      </c>
      <c r="B20" s="11">
        <v>1620</v>
      </c>
      <c r="C20" s="5">
        <v>150256.22045999998</v>
      </c>
      <c r="D20" s="5">
        <v>47865.20371409692</v>
      </c>
      <c r="E20" s="4"/>
      <c r="F20" s="5">
        <f t="shared" si="0"/>
        <v>198121.4241740969</v>
      </c>
      <c r="G20" s="5">
        <v>5464058.05</v>
      </c>
      <c r="H20" s="5">
        <v>885.594</v>
      </c>
      <c r="I20" s="5">
        <v>219225.59929999997</v>
      </c>
      <c r="J20" s="17">
        <v>80.96596669923008</v>
      </c>
      <c r="K20" s="17">
        <v>95.91130196393273</v>
      </c>
    </row>
    <row r="21" spans="1:11" ht="12.75">
      <c r="A21" s="11">
        <v>1621</v>
      </c>
      <c r="B21" s="11">
        <v>1630</v>
      </c>
      <c r="C21" s="5">
        <v>132711.79059</v>
      </c>
      <c r="D21" s="5">
        <v>51735.74128</v>
      </c>
      <c r="E21" s="4"/>
      <c r="F21" s="5">
        <f t="shared" si="0"/>
        <v>184447.53187</v>
      </c>
      <c r="G21" s="5">
        <v>5196520.5</v>
      </c>
      <c r="H21" s="5">
        <v>388.976</v>
      </c>
      <c r="I21" s="5">
        <v>214533.90430000002</v>
      </c>
      <c r="J21" s="17">
        <v>79.23319633689155</v>
      </c>
      <c r="K21" s="17">
        <v>89.29172097077327</v>
      </c>
    </row>
    <row r="22" spans="1:11" ht="12.75">
      <c r="A22" s="11">
        <v>1631</v>
      </c>
      <c r="B22" s="11">
        <v>1640</v>
      </c>
      <c r="C22" s="5">
        <v>135957.54971</v>
      </c>
      <c r="D22" s="5">
        <v>39489.45453008547</v>
      </c>
      <c r="E22" s="4"/>
      <c r="F22" s="5">
        <f t="shared" si="0"/>
        <v>175447.00424008546</v>
      </c>
      <c r="G22" s="5">
        <v>3342545.5999999996</v>
      </c>
      <c r="H22" s="5">
        <v>124.04</v>
      </c>
      <c r="I22" s="5">
        <v>139675.9594</v>
      </c>
      <c r="J22" s="17">
        <v>51.58612458387023</v>
      </c>
      <c r="K22" s="17">
        <v>84.9345328123191</v>
      </c>
    </row>
    <row r="23" spans="1:11" ht="12.75">
      <c r="A23" s="11">
        <v>1641</v>
      </c>
      <c r="B23" s="11">
        <v>1650</v>
      </c>
      <c r="C23" s="5">
        <v>117419.47936</v>
      </c>
      <c r="D23" s="5">
        <v>29158.395310485965</v>
      </c>
      <c r="E23" s="4"/>
      <c r="F23" s="5">
        <f t="shared" si="0"/>
        <v>146577.87467048597</v>
      </c>
      <c r="G23" s="5">
        <v>2553434.95</v>
      </c>
      <c r="H23" s="5">
        <v>154.93900000000002</v>
      </c>
      <c r="I23" s="5">
        <v>105643.09660000002</v>
      </c>
      <c r="J23" s="17">
        <v>39.016864219465944</v>
      </c>
      <c r="K23" s="17">
        <v>70.9588821974081</v>
      </c>
    </row>
    <row r="24" spans="1:11" ht="12.75">
      <c r="A24" s="11">
        <v>1651</v>
      </c>
      <c r="B24" s="11">
        <v>1660</v>
      </c>
      <c r="C24" s="5">
        <v>101540.97198</v>
      </c>
      <c r="D24" s="5">
        <v>28709.839974778282</v>
      </c>
      <c r="E24" s="4"/>
      <c r="F24" s="5">
        <f t="shared" si="0"/>
        <v>130250.81195477828</v>
      </c>
      <c r="G24" s="5">
        <v>1065488.25</v>
      </c>
      <c r="H24" s="5">
        <v>46.943000000000005</v>
      </c>
      <c r="I24" s="5">
        <v>44325.654599999994</v>
      </c>
      <c r="J24" s="17">
        <v>16.370667867824935</v>
      </c>
      <c r="K24" s="17">
        <v>63.05489175902803</v>
      </c>
    </row>
    <row r="25" spans="1:11" ht="12.75">
      <c r="A25" s="11">
        <v>1661</v>
      </c>
      <c r="B25" s="11">
        <v>1670</v>
      </c>
      <c r="C25" s="5">
        <v>80982.83361999999</v>
      </c>
      <c r="D25" s="5">
        <v>29049.22672072902</v>
      </c>
      <c r="E25" s="4"/>
      <c r="F25" s="5">
        <f t="shared" si="0"/>
        <v>110032.06034072902</v>
      </c>
      <c r="G25" s="5"/>
      <c r="H25" s="5"/>
      <c r="I25" s="5"/>
      <c r="J25" s="17"/>
      <c r="K25" s="17">
        <v>53.26692057179905</v>
      </c>
    </row>
    <row r="26" spans="1:11" ht="12.75">
      <c r="A26" s="11">
        <v>1671</v>
      </c>
      <c r="B26" s="11">
        <v>1680</v>
      </c>
      <c r="C26" s="5">
        <v>78887.34404999999</v>
      </c>
      <c r="D26" s="5">
        <v>57272.07830284907</v>
      </c>
      <c r="E26" s="5"/>
      <c r="F26" s="5">
        <f t="shared" si="0"/>
        <v>136159.42235284904</v>
      </c>
      <c r="G26" s="5"/>
      <c r="H26" s="5"/>
      <c r="I26" s="5"/>
      <c r="J26" s="17"/>
      <c r="K26" s="17">
        <v>65.9152715409673</v>
      </c>
    </row>
    <row r="27" spans="1:11" ht="12.75">
      <c r="A27" s="11">
        <v>1681</v>
      </c>
      <c r="B27" s="11">
        <v>1690</v>
      </c>
      <c r="C27" s="5">
        <v>84593.15297</v>
      </c>
      <c r="D27" s="5">
        <v>34493.74006691229</v>
      </c>
      <c r="E27" s="5">
        <v>30768.162630823543</v>
      </c>
      <c r="F27" s="5">
        <f t="shared" si="0"/>
        <v>149855.0556677358</v>
      </c>
      <c r="J27" s="17"/>
      <c r="K27" s="17">
        <v>72.54537743651707</v>
      </c>
    </row>
    <row r="28" spans="1:11" ht="12.75">
      <c r="A28" s="11">
        <v>1691</v>
      </c>
      <c r="B28" s="11">
        <v>1700</v>
      </c>
      <c r="C28" s="5">
        <v>62533.32234</v>
      </c>
      <c r="D28" s="5">
        <v>29157.112883509522</v>
      </c>
      <c r="E28" s="5">
        <v>15003.278694663884</v>
      </c>
      <c r="F28" s="5">
        <f t="shared" si="0"/>
        <v>106693.71391817341</v>
      </c>
      <c r="J28" s="17"/>
      <c r="K28" s="17">
        <v>51.65081492785522</v>
      </c>
    </row>
    <row r="29" spans="1:11" ht="12.75">
      <c r="A29" s="11">
        <v>1701</v>
      </c>
      <c r="B29" s="11">
        <v>1710</v>
      </c>
      <c r="C29" s="5">
        <v>43796.71449</v>
      </c>
      <c r="D29" s="5">
        <v>34238.48392</v>
      </c>
      <c r="E29" s="5">
        <v>6583.791542198823</v>
      </c>
      <c r="F29" s="5">
        <f t="shared" si="0"/>
        <v>84618.98995219883</v>
      </c>
      <c r="J29" s="17"/>
      <c r="K29" s="17">
        <v>40.96436077532212</v>
      </c>
    </row>
    <row r="30" spans="1:11" ht="12.75">
      <c r="A30" s="11">
        <v>1711</v>
      </c>
      <c r="B30" s="11">
        <v>1720</v>
      </c>
      <c r="C30" s="5">
        <v>33661.79488</v>
      </c>
      <c r="D30" s="5">
        <v>50564.66499999999</v>
      </c>
      <c r="E30" s="5">
        <v>8466.711855719535</v>
      </c>
      <c r="F30" s="5">
        <f t="shared" si="0"/>
        <v>92693.17173571953</v>
      </c>
      <c r="J30" s="17"/>
      <c r="K30" s="17"/>
    </row>
    <row r="31" spans="1:11" ht="12.75">
      <c r="A31" s="11">
        <v>1721</v>
      </c>
      <c r="B31" s="11">
        <v>1730</v>
      </c>
      <c r="C31" s="5">
        <v>33937.38762</v>
      </c>
      <c r="D31" s="4"/>
      <c r="E31" s="4"/>
      <c r="F31" s="5">
        <f t="shared" si="0"/>
        <v>33937.38762</v>
      </c>
      <c r="J31" s="17"/>
      <c r="K31" s="17"/>
    </row>
    <row r="32" spans="1:6" ht="12.75">
      <c r="A32" s="11">
        <v>1731</v>
      </c>
      <c r="B32" s="8">
        <v>1740</v>
      </c>
      <c r="C32" s="5">
        <v>40548.7697815</v>
      </c>
      <c r="E32" s="5"/>
      <c r="F32" s="5">
        <f t="shared" si="0"/>
        <v>40548.7697815</v>
      </c>
    </row>
    <row r="35" ht="12.75">
      <c r="D35" s="5">
        <v>42861.41</v>
      </c>
    </row>
    <row r="36" ht="12.75">
      <c r="D36" s="5">
        <v>58267.92</v>
      </c>
    </row>
    <row r="37" ht="12.75">
      <c r="D37" s="5">
        <f>AVERAGE(D35:D36)</f>
        <v>50564.665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29"/>
  </sheetPr>
  <dimension ref="A1:O43"/>
  <sheetViews>
    <sheetView zoomScale="90" zoomScaleNormal="90" zoomScalePageLayoutView="0" workbookViewId="0" topLeftCell="A1">
      <pane xSplit="2" ySplit="8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3" width="15.8515625" style="0" customWidth="1"/>
    <col min="4" max="5" width="14.7109375" style="0" customWidth="1"/>
    <col min="6" max="6" width="13.8515625" style="0" customWidth="1"/>
    <col min="7" max="7" width="17.421875" style="0" customWidth="1"/>
    <col min="8" max="8" width="13.421875" style="0" customWidth="1"/>
    <col min="9" max="9" width="14.421875" style="0" customWidth="1"/>
    <col min="10" max="11" width="17.140625" style="0" customWidth="1"/>
    <col min="15" max="15" width="10.57421875" style="0" customWidth="1"/>
  </cols>
  <sheetData>
    <row r="1" spans="1:11" ht="12.75">
      <c r="A1" s="11" t="s">
        <v>535</v>
      </c>
      <c r="C1" s="1" t="s">
        <v>445</v>
      </c>
      <c r="D1" s="1"/>
      <c r="E1" s="1"/>
      <c r="F1" s="1"/>
      <c r="G1" s="5"/>
      <c r="H1" s="5"/>
      <c r="I1" s="5"/>
      <c r="J1" s="17"/>
      <c r="K1" s="19"/>
    </row>
    <row r="2" spans="1:11" ht="12.75">
      <c r="A2" s="11"/>
      <c r="C2" s="1" t="s">
        <v>207</v>
      </c>
      <c r="D2" s="1"/>
      <c r="E2" s="1"/>
      <c r="F2" s="1"/>
      <c r="G2" s="5"/>
      <c r="H2" s="5"/>
      <c r="I2" s="5"/>
      <c r="J2" s="17"/>
      <c r="K2" s="19"/>
    </row>
    <row r="3" spans="1:11" ht="12.75">
      <c r="A3" s="11"/>
      <c r="C3" s="1" t="s">
        <v>344</v>
      </c>
      <c r="D3" s="1"/>
      <c r="E3" s="1"/>
      <c r="F3" s="1"/>
      <c r="G3" s="5"/>
      <c r="H3" s="5"/>
      <c r="I3" s="5"/>
      <c r="J3" s="17"/>
      <c r="K3" s="19"/>
    </row>
    <row r="4" spans="1:11" ht="12.75">
      <c r="A4" s="11"/>
      <c r="B4" s="11"/>
      <c r="D4" s="1"/>
      <c r="E4" s="1"/>
      <c r="F4" s="4"/>
      <c r="G4" s="5"/>
      <c r="H4" s="5"/>
      <c r="I4" s="5"/>
      <c r="J4" s="17"/>
      <c r="K4" s="19"/>
    </row>
    <row r="5" spans="1:11" ht="12.75">
      <c r="A5" s="11"/>
      <c r="B5" s="11"/>
      <c r="C5" s="1" t="s">
        <v>487</v>
      </c>
      <c r="D5" s="1" t="s">
        <v>581</v>
      </c>
      <c r="E5" s="1" t="s">
        <v>525</v>
      </c>
      <c r="F5" s="4" t="s">
        <v>557</v>
      </c>
      <c r="G5" s="4" t="s">
        <v>431</v>
      </c>
      <c r="H5" s="4" t="s">
        <v>429</v>
      </c>
      <c r="I5" s="4" t="s">
        <v>429</v>
      </c>
      <c r="J5" s="18" t="s">
        <v>347</v>
      </c>
      <c r="K5" s="20" t="s">
        <v>346</v>
      </c>
    </row>
    <row r="6" spans="1:11" ht="12.75">
      <c r="A6" s="11" t="s">
        <v>575</v>
      </c>
      <c r="B6" s="11" t="s">
        <v>575</v>
      </c>
      <c r="C6" s="1" t="s">
        <v>519</v>
      </c>
      <c r="D6" s="1" t="s">
        <v>519</v>
      </c>
      <c r="E6" s="1" t="s">
        <v>519</v>
      </c>
      <c r="F6" s="4" t="s">
        <v>518</v>
      </c>
      <c r="G6" s="4" t="s">
        <v>246</v>
      </c>
      <c r="H6" s="4" t="s">
        <v>312</v>
      </c>
      <c r="I6" s="4" t="s">
        <v>516</v>
      </c>
      <c r="J6" s="18" t="s">
        <v>324</v>
      </c>
      <c r="K6" s="20" t="s">
        <v>444</v>
      </c>
    </row>
    <row r="7" spans="1:11" ht="12.75">
      <c r="A7" s="11" t="s">
        <v>242</v>
      </c>
      <c r="B7" s="11" t="s">
        <v>276</v>
      </c>
      <c r="C7" s="1" t="s">
        <v>331</v>
      </c>
      <c r="D7" s="1" t="s">
        <v>331</v>
      </c>
      <c r="E7" s="1" t="s">
        <v>331</v>
      </c>
      <c r="F7" s="4" t="s">
        <v>467</v>
      </c>
      <c r="G7" s="4" t="s">
        <v>325</v>
      </c>
      <c r="H7" s="4" t="s">
        <v>329</v>
      </c>
      <c r="I7" s="4" t="s">
        <v>329</v>
      </c>
      <c r="J7" s="1" t="s">
        <v>81</v>
      </c>
      <c r="K7" s="1" t="s">
        <v>81</v>
      </c>
    </row>
    <row r="8" spans="1:11" ht="12.75">
      <c r="A8" s="11"/>
      <c r="B8" s="11"/>
      <c r="D8" s="1"/>
      <c r="E8" s="1"/>
      <c r="F8" s="4"/>
      <c r="G8" s="5"/>
      <c r="H8" s="5"/>
      <c r="I8" s="5"/>
      <c r="J8" s="17"/>
      <c r="K8" s="19"/>
    </row>
    <row r="9" spans="1:11" ht="12.75">
      <c r="A9" s="11">
        <v>1503</v>
      </c>
      <c r="B9" s="11">
        <v>1505</v>
      </c>
      <c r="D9" s="1"/>
      <c r="E9" s="1"/>
      <c r="F9" s="4"/>
      <c r="G9" s="5">
        <v>123685.1</v>
      </c>
      <c r="H9" s="5">
        <v>517.2433472698118</v>
      </c>
      <c r="I9" s="5"/>
      <c r="J9" s="17"/>
      <c r="K9" s="19"/>
    </row>
    <row r="10" spans="1:11" ht="12.75">
      <c r="A10" s="11">
        <v>1506</v>
      </c>
      <c r="B10" s="11">
        <v>1510</v>
      </c>
      <c r="D10" s="1"/>
      <c r="E10" s="1"/>
      <c r="F10" s="4"/>
      <c r="G10" s="5">
        <v>163247.3</v>
      </c>
      <c r="H10" s="5">
        <v>682.6899916381129</v>
      </c>
      <c r="I10" s="5"/>
      <c r="J10" s="17"/>
      <c r="K10" s="19"/>
    </row>
    <row r="11" spans="1:11" ht="12.75">
      <c r="A11" s="11">
        <v>1511</v>
      </c>
      <c r="B11" s="11">
        <v>1515</v>
      </c>
      <c r="D11" s="1"/>
      <c r="E11" s="1"/>
      <c r="F11" s="4"/>
      <c r="G11" s="5">
        <v>239110.7</v>
      </c>
      <c r="H11" s="5">
        <v>999.9464723947458</v>
      </c>
      <c r="I11" s="5"/>
      <c r="J11" s="17"/>
      <c r="K11" s="19"/>
    </row>
    <row r="12" spans="1:11" ht="12.75">
      <c r="A12" s="11">
        <v>1516</v>
      </c>
      <c r="B12" s="11">
        <v>1520</v>
      </c>
      <c r="D12" s="1"/>
      <c r="E12" s="1"/>
      <c r="F12" s="4"/>
      <c r="G12" s="5">
        <v>198639.3</v>
      </c>
      <c r="H12" s="5">
        <v>830.6975276052541</v>
      </c>
      <c r="I12" s="5"/>
      <c r="J12" s="17"/>
      <c r="K12" s="19"/>
    </row>
    <row r="13" spans="1:15" ht="12.75">
      <c r="A13" s="11">
        <v>1521</v>
      </c>
      <c r="B13" s="11">
        <v>1525</v>
      </c>
      <c r="D13" s="1"/>
      <c r="E13" s="1"/>
      <c r="F13" s="4"/>
      <c r="G13" s="5">
        <v>26834</v>
      </c>
      <c r="H13" s="5">
        <v>111.8812762502697</v>
      </c>
      <c r="I13" s="5">
        <v>3.4037510657876</v>
      </c>
      <c r="J13" s="17">
        <f aca="true" t="shared" si="0" ref="J13:J40">I13/(($I$27+$I$28)/2)*100</f>
        <v>0.0012570976944526375</v>
      </c>
      <c r="K13" s="19"/>
      <c r="O13" s="5">
        <v>3.4037510657876</v>
      </c>
    </row>
    <row r="14" spans="1:15" ht="12.75">
      <c r="A14" s="11">
        <v>1526</v>
      </c>
      <c r="B14" s="11">
        <v>1530</v>
      </c>
      <c r="D14" s="1"/>
      <c r="E14" s="1"/>
      <c r="F14" s="4"/>
      <c r="G14" s="5">
        <v>207687.4</v>
      </c>
      <c r="H14" s="5">
        <v>865.9287237497304</v>
      </c>
      <c r="I14" s="5">
        <v>26.344048934212402</v>
      </c>
      <c r="J14" s="17">
        <f t="shared" si="0"/>
        <v>0.009729572620811758</v>
      </c>
      <c r="K14" s="19"/>
      <c r="O14" s="5">
        <v>26.344048934212402</v>
      </c>
    </row>
    <row r="15" spans="1:15" ht="12.75">
      <c r="A15" s="11">
        <v>1531</v>
      </c>
      <c r="B15" s="11">
        <v>1535</v>
      </c>
      <c r="D15" s="1"/>
      <c r="E15" s="1"/>
      <c r="F15" s="4"/>
      <c r="G15" s="5">
        <v>330046.2</v>
      </c>
      <c r="H15" s="5">
        <v>854.4133953085857</v>
      </c>
      <c r="I15" s="5">
        <v>5090.79009840535</v>
      </c>
      <c r="J15" s="17">
        <f t="shared" si="0"/>
        <v>1.8801670192549353</v>
      </c>
      <c r="K15" s="19"/>
      <c r="O15" s="5">
        <v>5090.79009840535</v>
      </c>
    </row>
    <row r="16" spans="1:15" ht="12.75">
      <c r="A16" s="11">
        <v>1536</v>
      </c>
      <c r="B16" s="11">
        <v>1540</v>
      </c>
      <c r="D16" s="1"/>
      <c r="E16" s="1"/>
      <c r="F16" s="4"/>
      <c r="G16" s="5">
        <v>787578.4</v>
      </c>
      <c r="H16" s="5">
        <v>2038.8586046914145</v>
      </c>
      <c r="I16" s="5">
        <v>12147.98510159465</v>
      </c>
      <c r="J16" s="17">
        <f t="shared" si="0"/>
        <v>4.486580765836937</v>
      </c>
      <c r="K16" s="19"/>
      <c r="O16" s="5">
        <v>12147.98510159465</v>
      </c>
    </row>
    <row r="17" spans="1:15" ht="12.75">
      <c r="A17" s="11">
        <v>1541</v>
      </c>
      <c r="B17" s="11">
        <v>1545</v>
      </c>
      <c r="D17" s="1"/>
      <c r="E17" s="1"/>
      <c r="F17" s="4"/>
      <c r="G17" s="5">
        <v>990801</v>
      </c>
      <c r="H17" s="5">
        <v>2363.396785416903</v>
      </c>
      <c r="I17" s="5">
        <v>16815.869652235993</v>
      </c>
      <c r="J17" s="17">
        <f t="shared" si="0"/>
        <v>6.210557282675579</v>
      </c>
      <c r="K17" s="19"/>
      <c r="O17" s="5">
        <v>16815.869652235993</v>
      </c>
    </row>
    <row r="18" spans="1:15" ht="12.75">
      <c r="A18" s="11">
        <v>1546</v>
      </c>
      <c r="B18" s="11">
        <v>1550</v>
      </c>
      <c r="D18" s="1"/>
      <c r="E18" s="1"/>
      <c r="F18" s="4"/>
      <c r="G18" s="5">
        <v>1101742.2</v>
      </c>
      <c r="H18" s="5">
        <v>2628.0292145830967</v>
      </c>
      <c r="I18" s="5">
        <v>18698.763147764002</v>
      </c>
      <c r="J18" s="17">
        <f t="shared" si="0"/>
        <v>6.905960978885785</v>
      </c>
      <c r="K18" s="19"/>
      <c r="O18" s="5">
        <v>18698.763147764002</v>
      </c>
    </row>
    <row r="19" spans="1:11" ht="12.75">
      <c r="A19" s="11">
        <v>1551</v>
      </c>
      <c r="B19" s="11">
        <v>1555</v>
      </c>
      <c r="C19" s="5">
        <v>64848.88221999999</v>
      </c>
      <c r="D19" s="1"/>
      <c r="E19" s="1"/>
      <c r="F19" s="5">
        <f aca="true" t="shared" si="1" ref="F19:F40">C19+D19+E19</f>
        <v>64848.88221999999</v>
      </c>
      <c r="G19" s="5">
        <v>1973106.2</v>
      </c>
      <c r="H19" s="5">
        <v>4707.313679461639</v>
      </c>
      <c r="I19" s="5">
        <v>33479.20625453241</v>
      </c>
      <c r="J19" s="17">
        <f t="shared" si="0"/>
        <v>12.364779968108069</v>
      </c>
      <c r="K19" s="17">
        <f aca="true" t="shared" si="2" ref="K19:K40">F19/(($F$27+$F$28)/2)*100</f>
        <v>31.393579722909738</v>
      </c>
    </row>
    <row r="20" spans="1:15" ht="12.75">
      <c r="A20" s="11">
        <v>1556</v>
      </c>
      <c r="B20" s="11">
        <v>1560</v>
      </c>
      <c r="C20" s="5">
        <v>54335.742999999995</v>
      </c>
      <c r="D20" s="5">
        <v>21294.67845</v>
      </c>
      <c r="E20" s="1"/>
      <c r="F20" s="5">
        <f t="shared" si="1"/>
        <v>75630.42145</v>
      </c>
      <c r="G20" s="5">
        <v>1599799.7</v>
      </c>
      <c r="H20" s="5">
        <v>3816.7023205383607</v>
      </c>
      <c r="I20" s="5">
        <v>27145.028545467583</v>
      </c>
      <c r="J20" s="17">
        <f t="shared" si="0"/>
        <v>10.025396141142986</v>
      </c>
      <c r="K20" s="17">
        <f t="shared" si="2"/>
        <v>36.61296207408766</v>
      </c>
      <c r="O20" s="5">
        <f>SUM(O13:O19)*5</f>
        <v>263915.779</v>
      </c>
    </row>
    <row r="21" spans="1:11" ht="12.75">
      <c r="A21" s="11">
        <v>1561</v>
      </c>
      <c r="B21" s="11">
        <v>1565</v>
      </c>
      <c r="C21" s="5">
        <v>56080.3771</v>
      </c>
      <c r="D21" s="5">
        <v>27761.39652</v>
      </c>
      <c r="E21" s="1"/>
      <c r="F21" s="5">
        <f t="shared" si="1"/>
        <v>83841.77361999999</v>
      </c>
      <c r="G21" s="5">
        <v>2241507.1</v>
      </c>
      <c r="H21" s="5">
        <v>1019.6432904987707</v>
      </c>
      <c r="I21" s="5">
        <v>83373.91757745473</v>
      </c>
      <c r="J21" s="17">
        <f t="shared" si="0"/>
        <v>30.792251706530305</v>
      </c>
      <c r="K21" s="17">
        <f t="shared" si="2"/>
        <v>40.58810752235076</v>
      </c>
    </row>
    <row r="22" spans="1:11" ht="12.75">
      <c r="A22" s="11">
        <v>1566</v>
      </c>
      <c r="B22" s="11">
        <v>1570</v>
      </c>
      <c r="C22" s="5">
        <v>51717.86156</v>
      </c>
      <c r="D22" s="5">
        <v>31498.076479999996</v>
      </c>
      <c r="E22" s="1"/>
      <c r="F22" s="5">
        <f t="shared" si="1"/>
        <v>83215.93804</v>
      </c>
      <c r="G22" s="5">
        <v>2828243.1</v>
      </c>
      <c r="H22" s="5">
        <v>1286.5447095012294</v>
      </c>
      <c r="I22" s="5">
        <v>105197.84082254527</v>
      </c>
      <c r="J22" s="17">
        <f t="shared" si="0"/>
        <v>38.85241917032409</v>
      </c>
      <c r="K22" s="17">
        <f t="shared" si="2"/>
        <v>40.285138242055226</v>
      </c>
    </row>
    <row r="23" spans="1:11" ht="12.75">
      <c r="A23" s="11">
        <v>1571</v>
      </c>
      <c r="B23" s="11">
        <v>1575</v>
      </c>
      <c r="C23" s="5">
        <v>36439.0055</v>
      </c>
      <c r="D23" s="5">
        <v>35925.21314</v>
      </c>
      <c r="E23" s="1"/>
      <c r="F23" s="5">
        <f t="shared" si="1"/>
        <v>72364.21864</v>
      </c>
      <c r="G23" s="5">
        <v>2381321.8</v>
      </c>
      <c r="H23" s="5">
        <v>770.0594383894946</v>
      </c>
      <c r="I23" s="5">
        <v>91353.21905118042</v>
      </c>
      <c r="J23" s="17">
        <f t="shared" si="0"/>
        <v>33.739224411669085</v>
      </c>
      <c r="K23" s="17">
        <f t="shared" si="2"/>
        <v>35.03178141535145</v>
      </c>
    </row>
    <row r="24" spans="1:11" ht="12.75">
      <c r="A24" s="11">
        <v>1576</v>
      </c>
      <c r="B24" s="11">
        <v>1580</v>
      </c>
      <c r="C24" s="5">
        <v>111607.52661999999</v>
      </c>
      <c r="D24" s="5">
        <v>30389.37501</v>
      </c>
      <c r="E24" s="1"/>
      <c r="F24" s="5">
        <f t="shared" si="1"/>
        <v>141996.90162999998</v>
      </c>
      <c r="G24" s="5">
        <v>3450388.2</v>
      </c>
      <c r="H24" s="5">
        <v>1115.768561610505</v>
      </c>
      <c r="I24" s="5">
        <v>132365.17174881956</v>
      </c>
      <c r="J24" s="17">
        <f t="shared" si="0"/>
        <v>48.88605218630047</v>
      </c>
      <c r="K24" s="17">
        <f t="shared" si="2"/>
        <v>68.741216488582</v>
      </c>
    </row>
    <row r="25" spans="1:11" ht="12.75">
      <c r="A25" s="11">
        <v>1581</v>
      </c>
      <c r="B25" s="11">
        <v>1585</v>
      </c>
      <c r="C25" s="5">
        <v>168398.46375999998</v>
      </c>
      <c r="D25" s="5">
        <v>27613.049299999995</v>
      </c>
      <c r="E25" s="1"/>
      <c r="F25" s="5">
        <f t="shared" si="1"/>
        <v>196011.51305999997</v>
      </c>
      <c r="G25" s="5">
        <v>5874922.4</v>
      </c>
      <c r="H25" s="5">
        <v>1336.2138558855027</v>
      </c>
      <c r="I25" s="5">
        <v>232207.5698233437</v>
      </c>
      <c r="J25" s="17">
        <f t="shared" si="0"/>
        <v>85.7605609274573</v>
      </c>
      <c r="K25" s="17">
        <f t="shared" si="2"/>
        <v>94.88988632034547</v>
      </c>
    </row>
    <row r="26" spans="1:11" ht="12.75">
      <c r="A26" s="11">
        <v>1586</v>
      </c>
      <c r="B26" s="11">
        <v>1590</v>
      </c>
      <c r="C26" s="5">
        <v>176839.5068</v>
      </c>
      <c r="D26" s="5">
        <v>28413.39977637394</v>
      </c>
      <c r="E26" s="1"/>
      <c r="F26" s="5">
        <f t="shared" si="1"/>
        <v>205252.90657637393</v>
      </c>
      <c r="G26" s="5">
        <v>4766526.1</v>
      </c>
      <c r="H26" s="5">
        <v>1084.1161441144973</v>
      </c>
      <c r="I26" s="5">
        <v>188397.96797665622</v>
      </c>
      <c r="J26" s="17">
        <f t="shared" si="0"/>
        <v>69.58048535438792</v>
      </c>
      <c r="K26" s="17">
        <f t="shared" si="2"/>
        <v>99.36367853040751</v>
      </c>
    </row>
    <row r="27" spans="1:11" ht="12.75">
      <c r="A27" s="11">
        <v>1591</v>
      </c>
      <c r="B27" s="11">
        <v>1595</v>
      </c>
      <c r="C27" s="5">
        <v>192454.49252</v>
      </c>
      <c r="D27" s="5">
        <v>27002.86982</v>
      </c>
      <c r="E27" s="1"/>
      <c r="F27" s="5">
        <f t="shared" si="1"/>
        <v>219457.36234</v>
      </c>
      <c r="G27" s="5">
        <v>7036972.5</v>
      </c>
      <c r="H27" s="5">
        <v>1966.2763257960974</v>
      </c>
      <c r="I27" s="5">
        <v>273704.53885134787</v>
      </c>
      <c r="J27" s="17">
        <f t="shared" si="0"/>
        <v>101.08651840308305</v>
      </c>
      <c r="K27" s="17">
        <f t="shared" si="2"/>
        <v>106.24010722386016</v>
      </c>
    </row>
    <row r="28" spans="1:11" ht="12.75">
      <c r="A28" s="11">
        <v>1596</v>
      </c>
      <c r="B28" s="11">
        <v>1600</v>
      </c>
      <c r="C28" s="5">
        <v>169671.91732</v>
      </c>
      <c r="D28" s="5">
        <v>24005.39814595887</v>
      </c>
      <c r="E28" s="1"/>
      <c r="F28" s="5">
        <f t="shared" si="1"/>
        <v>193677.31546595888</v>
      </c>
      <c r="G28" s="5">
        <v>6885700.1</v>
      </c>
      <c r="H28" s="5">
        <v>1924.0076742039023</v>
      </c>
      <c r="I28" s="5">
        <v>267820.7667486522</v>
      </c>
      <c r="J28" s="17">
        <f t="shared" si="0"/>
        <v>98.91348159691697</v>
      </c>
      <c r="K28" s="17">
        <f t="shared" si="2"/>
        <v>93.75989277613982</v>
      </c>
    </row>
    <row r="29" spans="1:11" ht="12.75">
      <c r="A29" s="11">
        <v>1601</v>
      </c>
      <c r="B29" s="11">
        <v>1605</v>
      </c>
      <c r="C29" s="5">
        <v>183470.02397999997</v>
      </c>
      <c r="D29" s="5">
        <v>29736.3795</v>
      </c>
      <c r="E29" s="1"/>
      <c r="F29" s="5">
        <f t="shared" si="1"/>
        <v>213206.40347999998</v>
      </c>
      <c r="G29" s="5">
        <v>4880665.6</v>
      </c>
      <c r="H29" s="5">
        <v>1028.8137715549065</v>
      </c>
      <c r="I29" s="5">
        <v>193590.35080488445</v>
      </c>
      <c r="J29" s="17">
        <f t="shared" si="0"/>
        <v>71.49817332742738</v>
      </c>
      <c r="K29" s="17">
        <f t="shared" si="2"/>
        <v>103.21399530645974</v>
      </c>
    </row>
    <row r="30" spans="1:11" ht="12.75">
      <c r="A30" s="11">
        <v>1606</v>
      </c>
      <c r="B30" s="11">
        <v>1610</v>
      </c>
      <c r="C30" s="5">
        <v>158273.45967999997</v>
      </c>
      <c r="D30" s="5">
        <v>34121.26738</v>
      </c>
      <c r="E30" s="1"/>
      <c r="F30" s="5">
        <f t="shared" si="1"/>
        <v>192394.72705999998</v>
      </c>
      <c r="G30" s="5">
        <v>6281041.4</v>
      </c>
      <c r="H30" s="5">
        <v>1324.0042284450935</v>
      </c>
      <c r="I30" s="5">
        <v>249135.89819511556</v>
      </c>
      <c r="J30" s="17">
        <f t="shared" si="0"/>
        <v>92.01265226897478</v>
      </c>
      <c r="K30" s="17">
        <f t="shared" si="2"/>
        <v>93.13898706434125</v>
      </c>
    </row>
    <row r="31" spans="1:11" ht="12.75">
      <c r="A31" s="11">
        <v>1611</v>
      </c>
      <c r="B31" s="11">
        <v>1615</v>
      </c>
      <c r="C31" s="5">
        <v>161108.66593999998</v>
      </c>
      <c r="D31" s="5">
        <v>47517.24326819384</v>
      </c>
      <c r="E31" s="1"/>
      <c r="F31" s="5">
        <f t="shared" si="1"/>
        <v>208625.90920819383</v>
      </c>
      <c r="G31" s="5">
        <v>4905624.1</v>
      </c>
      <c r="H31" s="5">
        <v>795.0851234487526</v>
      </c>
      <c r="I31" s="5">
        <v>196820.45348383937</v>
      </c>
      <c r="J31" s="17">
        <f t="shared" si="0"/>
        <v>72.69113795735397</v>
      </c>
      <c r="K31" s="17">
        <f t="shared" si="2"/>
        <v>100.99656137129271</v>
      </c>
    </row>
    <row r="32" spans="1:11" ht="12.75">
      <c r="A32" s="11">
        <v>1616</v>
      </c>
      <c r="B32" s="11">
        <v>1620</v>
      </c>
      <c r="C32" s="5">
        <v>139403.77498</v>
      </c>
      <c r="D32" s="5">
        <v>48213.16416</v>
      </c>
      <c r="E32" s="1"/>
      <c r="F32" s="5">
        <f t="shared" si="1"/>
        <v>187616.93913999997</v>
      </c>
      <c r="G32" s="5">
        <v>6022492</v>
      </c>
      <c r="H32" s="5">
        <v>976.1028765512476</v>
      </c>
      <c r="I32" s="5">
        <v>241630.74511616057</v>
      </c>
      <c r="J32" s="17">
        <f t="shared" si="0"/>
        <v>89.24079544110617</v>
      </c>
      <c r="K32" s="17">
        <f t="shared" si="2"/>
        <v>90.82604255657274</v>
      </c>
    </row>
    <row r="33" spans="1:11" ht="12.75">
      <c r="A33" s="11">
        <v>1621</v>
      </c>
      <c r="B33" s="11">
        <v>1625</v>
      </c>
      <c r="C33" s="5">
        <v>134795.29984</v>
      </c>
      <c r="D33" s="5">
        <v>55609.74112</v>
      </c>
      <c r="E33" s="1"/>
      <c r="F33" s="5">
        <f t="shared" si="1"/>
        <v>190405.04095999998</v>
      </c>
      <c r="G33" s="5">
        <v>5402135.7</v>
      </c>
      <c r="H33" s="5">
        <v>404.36694823838377</v>
      </c>
      <c r="I33" s="5">
        <v>223022.5519709609</v>
      </c>
      <c r="J33" s="17">
        <f t="shared" si="0"/>
        <v>82.3682844235159</v>
      </c>
      <c r="K33" s="17">
        <f t="shared" si="2"/>
        <v>92.17577278730856</v>
      </c>
    </row>
    <row r="34" spans="1:11" ht="12.75">
      <c r="A34" s="11">
        <v>1626</v>
      </c>
      <c r="B34" s="11">
        <v>1630</v>
      </c>
      <c r="C34" s="5">
        <v>130628.28133999999</v>
      </c>
      <c r="D34" s="5">
        <v>47861.74144</v>
      </c>
      <c r="E34" s="1"/>
      <c r="F34" s="5">
        <f t="shared" si="1"/>
        <v>178490.02278</v>
      </c>
      <c r="G34" s="5">
        <v>4990905.3</v>
      </c>
      <c r="H34" s="5">
        <v>373.5850517616163</v>
      </c>
      <c r="I34" s="5">
        <v>206045.25662903916</v>
      </c>
      <c r="J34" s="17">
        <f t="shared" si="0"/>
        <v>76.09810825026719</v>
      </c>
      <c r="K34" s="17">
        <f t="shared" si="2"/>
        <v>86.40766915423798</v>
      </c>
    </row>
    <row r="35" spans="1:11" ht="12.75">
      <c r="A35" s="11">
        <v>1631</v>
      </c>
      <c r="B35" s="11">
        <v>1635</v>
      </c>
      <c r="C35" s="5">
        <v>124267.77516</v>
      </c>
      <c r="D35" s="5">
        <v>47934.530960000004</v>
      </c>
      <c r="E35" s="1"/>
      <c r="F35" s="5">
        <f t="shared" si="1"/>
        <v>172202.30612000002</v>
      </c>
      <c r="G35" s="5">
        <v>3422170.8</v>
      </c>
      <c r="H35" s="5">
        <v>126.9948466916951</v>
      </c>
      <c r="I35" s="5">
        <v>143003.28160688834</v>
      </c>
      <c r="J35" s="17">
        <f t="shared" si="0"/>
        <v>52.814995025373136</v>
      </c>
      <c r="K35" s="17">
        <f t="shared" si="2"/>
        <v>83.36376265217804</v>
      </c>
    </row>
    <row r="36" spans="1:11" ht="12.75">
      <c r="A36" s="11">
        <v>1636</v>
      </c>
      <c r="B36" s="11">
        <v>1640</v>
      </c>
      <c r="C36" s="5">
        <v>147647.32426</v>
      </c>
      <c r="D36" s="5">
        <v>31044.37810017094</v>
      </c>
      <c r="E36" s="1"/>
      <c r="F36" s="5">
        <f t="shared" si="1"/>
        <v>178691.70236017092</v>
      </c>
      <c r="G36" s="5">
        <v>3262920.4</v>
      </c>
      <c r="H36" s="5">
        <v>121.08515330830491</v>
      </c>
      <c r="I36" s="5">
        <v>136348.63719311167</v>
      </c>
      <c r="J36" s="17">
        <f t="shared" si="0"/>
        <v>50.357254142367324</v>
      </c>
      <c r="K36" s="17">
        <f t="shared" si="2"/>
        <v>86.50530297246016</v>
      </c>
    </row>
    <row r="37" spans="1:11" ht="12.75">
      <c r="A37" s="11">
        <v>1641</v>
      </c>
      <c r="B37" s="11">
        <v>1645</v>
      </c>
      <c r="C37" s="5">
        <v>113646.35926</v>
      </c>
      <c r="D37" s="5">
        <v>28101.06992444204</v>
      </c>
      <c r="E37" s="1"/>
      <c r="F37" s="5">
        <f t="shared" si="1"/>
        <v>141747.42918444204</v>
      </c>
      <c r="G37" s="5">
        <v>2752760.5</v>
      </c>
      <c r="H37" s="5">
        <v>167.03380640634688</v>
      </c>
      <c r="I37" s="5">
        <v>113889.77949806959</v>
      </c>
      <c r="J37" s="17">
        <f t="shared" si="0"/>
        <v>42.0625881451216</v>
      </c>
      <c r="K37" s="17">
        <f t="shared" si="2"/>
        <v>68.6204459704145</v>
      </c>
    </row>
    <row r="38" spans="1:11" ht="12.75">
      <c r="A38" s="11">
        <v>1646</v>
      </c>
      <c r="B38" s="11">
        <v>1650</v>
      </c>
      <c r="C38" s="5">
        <v>121192.59946</v>
      </c>
      <c r="D38" s="5">
        <v>30215.72069652989</v>
      </c>
      <c r="E38" s="1"/>
      <c r="F38" s="5">
        <f t="shared" si="1"/>
        <v>151408.3201565299</v>
      </c>
      <c r="G38" s="5">
        <v>2354109.4</v>
      </c>
      <c r="H38" s="5">
        <v>142.84419359365313</v>
      </c>
      <c r="I38" s="5">
        <v>97396.41370193043</v>
      </c>
      <c r="J38" s="17">
        <f t="shared" si="0"/>
        <v>35.97114029381028</v>
      </c>
      <c r="K38" s="17">
        <f t="shared" si="2"/>
        <v>73.29731842440171</v>
      </c>
    </row>
    <row r="39" spans="1:11" ht="12.75">
      <c r="A39" s="11">
        <v>1651</v>
      </c>
      <c r="B39" s="11">
        <v>1655</v>
      </c>
      <c r="C39" s="5">
        <v>99371.12728</v>
      </c>
      <c r="D39" s="5">
        <v>31046.27001198551</v>
      </c>
      <c r="E39" s="1"/>
      <c r="F39" s="5">
        <f t="shared" si="1"/>
        <v>130417.39729198552</v>
      </c>
      <c r="G39" s="5">
        <v>1458753.4</v>
      </c>
      <c r="H39" s="5">
        <v>64.2693721457745</v>
      </c>
      <c r="I39" s="5">
        <v>60685.980680665074</v>
      </c>
      <c r="J39" s="17">
        <f t="shared" si="0"/>
        <v>22.412980539635583</v>
      </c>
      <c r="K39" s="17">
        <f t="shared" si="2"/>
        <v>63.13553632660194</v>
      </c>
    </row>
    <row r="40" spans="1:11" ht="12.75">
      <c r="A40" s="11">
        <v>1656</v>
      </c>
      <c r="B40" s="11">
        <v>1660</v>
      </c>
      <c r="C40" s="5">
        <v>103710.81668</v>
      </c>
      <c r="D40" s="5">
        <v>26373.409937571058</v>
      </c>
      <c r="E40" s="1"/>
      <c r="F40" s="5">
        <f t="shared" si="1"/>
        <v>130084.22661757105</v>
      </c>
      <c r="G40" s="5">
        <v>672223.1</v>
      </c>
      <c r="H40" s="5">
        <v>29.616627854225516</v>
      </c>
      <c r="I40" s="5">
        <v>27965.328519334922</v>
      </c>
      <c r="J40" s="17">
        <f t="shared" si="0"/>
        <v>10.328355196014286</v>
      </c>
      <c r="K40" s="17">
        <f t="shared" si="2"/>
        <v>62.974247191454126</v>
      </c>
    </row>
    <row r="42" spans="1:9" ht="12.75">
      <c r="A42" s="1" t="s">
        <v>565</v>
      </c>
      <c r="C42" s="5">
        <f>SUM(C19:C41)*5</f>
        <v>13499546.421300001</v>
      </c>
      <c r="D42" s="5">
        <f>SUM(D19:D41)*5</f>
        <v>3558391.86570613</v>
      </c>
      <c r="F42" s="5">
        <f>SUM(F19:F41)*5</f>
        <v>17057938.28700613</v>
      </c>
      <c r="G42" s="5"/>
      <c r="H42" s="5">
        <f>SUM(H10:H41)*5+(H9*3)</f>
        <v>181333.17999999993</v>
      </c>
      <c r="I42" s="5">
        <f>SUM(I10:I41)*5</f>
        <v>16886815.303000003</v>
      </c>
    </row>
    <row r="43" ht="12.75">
      <c r="F43" s="5">
        <f>C42+D42</f>
        <v>17057938.287006132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8"/>
  </sheetPr>
  <dimension ref="A1:G41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7109375" style="0" customWidth="1"/>
    <col min="2" max="3" width="10.8515625" style="0" customWidth="1"/>
    <col min="4" max="5" width="10.421875" style="0" customWidth="1"/>
    <col min="6" max="7" width="10.7109375" style="0" customWidth="1"/>
  </cols>
  <sheetData>
    <row r="1" spans="1:6" ht="12.75">
      <c r="A1" s="1" t="s">
        <v>469</v>
      </c>
      <c r="B1" s="9"/>
      <c r="C1" s="21"/>
      <c r="D1" s="5"/>
      <c r="E1" s="21"/>
      <c r="F1" s="5"/>
    </row>
    <row r="2" spans="1:6" ht="12.75">
      <c r="A2" s="11"/>
      <c r="B2" s="10" t="s">
        <v>345</v>
      </c>
      <c r="C2" s="21"/>
      <c r="D2" s="5"/>
      <c r="E2" s="21"/>
      <c r="F2" s="5"/>
    </row>
    <row r="3" spans="1:6" ht="12.75">
      <c r="A3" s="11"/>
      <c r="B3" s="9"/>
      <c r="C3" s="21"/>
      <c r="D3" s="5"/>
      <c r="E3" s="21"/>
      <c r="F3" s="5"/>
    </row>
    <row r="4" spans="1:7" ht="12.75">
      <c r="A4" s="11" t="s">
        <v>304</v>
      </c>
      <c r="B4" s="10" t="s">
        <v>314</v>
      </c>
      <c r="C4" s="22" t="s">
        <v>314</v>
      </c>
      <c r="D4" s="4" t="s">
        <v>578</v>
      </c>
      <c r="E4" s="22" t="s">
        <v>578</v>
      </c>
      <c r="F4" s="1" t="s">
        <v>436</v>
      </c>
      <c r="G4" s="1" t="s">
        <v>474</v>
      </c>
    </row>
    <row r="5" spans="1:7" ht="12.75">
      <c r="A5" s="11" t="s">
        <v>473</v>
      </c>
      <c r="B5" s="10" t="s">
        <v>386</v>
      </c>
      <c r="C5" s="22" t="s">
        <v>471</v>
      </c>
      <c r="D5" s="4" t="s">
        <v>386</v>
      </c>
      <c r="E5" s="22" t="s">
        <v>471</v>
      </c>
      <c r="F5" s="1" t="s">
        <v>555</v>
      </c>
      <c r="G5" s="1" t="s">
        <v>555</v>
      </c>
    </row>
    <row r="6" spans="1:6" ht="12.75">
      <c r="A6" s="11"/>
      <c r="B6" s="9"/>
      <c r="C6" s="21"/>
      <c r="D6" s="5"/>
      <c r="E6" s="21"/>
      <c r="F6" s="5"/>
    </row>
    <row r="7" spans="1:7" ht="12.75">
      <c r="A7" s="11" t="s">
        <v>121</v>
      </c>
      <c r="B7" s="9"/>
      <c r="C7" s="21"/>
      <c r="D7" s="5">
        <v>30868.8374</v>
      </c>
      <c r="E7" s="21">
        <v>23.8</v>
      </c>
      <c r="F7" s="5">
        <v>129878.2407</v>
      </c>
      <c r="G7" s="5">
        <v>45825.45008</v>
      </c>
    </row>
    <row r="8" spans="1:7" ht="12.75">
      <c r="A8" s="11" t="s">
        <v>125</v>
      </c>
      <c r="B8" s="9"/>
      <c r="C8" s="21"/>
      <c r="D8" s="5">
        <v>35661.873</v>
      </c>
      <c r="E8" s="21">
        <v>24.2</v>
      </c>
      <c r="F8" s="5">
        <v>147383.3488</v>
      </c>
      <c r="G8" s="5">
        <v>44210.42125999999</v>
      </c>
    </row>
    <row r="9" spans="1:7" ht="12.75">
      <c r="A9" s="11" t="s">
        <v>127</v>
      </c>
      <c r="B9" s="9"/>
      <c r="C9" s="21"/>
      <c r="D9" s="5">
        <v>42783.5833</v>
      </c>
      <c r="E9" s="21">
        <v>15.2</v>
      </c>
      <c r="F9" s="5">
        <v>169501.107</v>
      </c>
      <c r="G9" s="5">
        <v>18007.174267999995</v>
      </c>
    </row>
    <row r="10" spans="1:7" ht="12.75">
      <c r="A10" s="11" t="s">
        <v>131</v>
      </c>
      <c r="B10" s="9"/>
      <c r="C10" s="21"/>
      <c r="D10" s="5">
        <v>56687.561499999996</v>
      </c>
      <c r="E10" s="21">
        <v>31.2</v>
      </c>
      <c r="F10" s="5">
        <v>181945.2106</v>
      </c>
      <c r="G10" s="5">
        <v>36257.75778</v>
      </c>
    </row>
    <row r="11" spans="1:7" ht="12.75">
      <c r="A11" s="11" t="s">
        <v>133</v>
      </c>
      <c r="B11" s="9"/>
      <c r="C11" s="21"/>
      <c r="D11" s="5">
        <v>59005.1181</v>
      </c>
      <c r="E11" s="21">
        <v>26.2</v>
      </c>
      <c r="F11" s="5">
        <v>224973.3921</v>
      </c>
      <c r="G11" s="5">
        <v>29034.5778</v>
      </c>
    </row>
    <row r="12" spans="1:7" ht="12.75">
      <c r="A12" s="11" t="s">
        <v>137</v>
      </c>
      <c r="B12" s="9"/>
      <c r="C12" s="21"/>
      <c r="D12" s="5">
        <v>50438.735499999995</v>
      </c>
      <c r="E12" s="21">
        <v>18</v>
      </c>
      <c r="F12" s="5">
        <v>224297.6839</v>
      </c>
      <c r="G12" s="5">
        <v>37018.145059999995</v>
      </c>
    </row>
    <row r="13" spans="1:7" ht="12.75">
      <c r="A13" s="11" t="s">
        <v>139</v>
      </c>
      <c r="B13" s="9"/>
      <c r="C13" s="21"/>
      <c r="D13" s="5">
        <v>54007.645599999996</v>
      </c>
      <c r="E13" s="21">
        <v>22.3</v>
      </c>
      <c r="F13" s="5">
        <v>242534.99829999998</v>
      </c>
      <c r="G13" s="5">
        <v>37470.62904</v>
      </c>
    </row>
    <row r="14" spans="1:7" ht="12.75">
      <c r="A14" s="11" t="s">
        <v>143</v>
      </c>
      <c r="B14" s="9"/>
      <c r="C14" s="21"/>
      <c r="D14" s="5">
        <v>45976.5201</v>
      </c>
      <c r="E14" s="21">
        <v>15.3</v>
      </c>
      <c r="F14" s="5">
        <v>240807.1548</v>
      </c>
      <c r="G14" s="5">
        <v>34318.625</v>
      </c>
    </row>
    <row r="15" spans="1:7" ht="12.75">
      <c r="A15" s="11" t="s">
        <v>145</v>
      </c>
      <c r="B15" s="9"/>
      <c r="C15" s="21"/>
      <c r="D15" s="5">
        <v>33593.9064</v>
      </c>
      <c r="E15" s="21">
        <v>8.3</v>
      </c>
      <c r="F15" s="5">
        <v>241748.33599999998</v>
      </c>
      <c r="G15" s="23" t="s">
        <v>449</v>
      </c>
    </row>
    <row r="16" spans="1:7" ht="12.75">
      <c r="A16" s="11" t="s">
        <v>149</v>
      </c>
      <c r="B16" s="9"/>
      <c r="C16" s="21"/>
      <c r="D16" s="5">
        <v>42315.9424</v>
      </c>
      <c r="E16" s="21">
        <v>13.8</v>
      </c>
      <c r="F16" s="5">
        <v>305861.2</v>
      </c>
      <c r="G16" s="23" t="s">
        <v>449</v>
      </c>
    </row>
    <row r="17" spans="1:7" ht="12.75">
      <c r="A17" s="11" t="s">
        <v>151</v>
      </c>
      <c r="B17" s="9"/>
      <c r="C17" s="21"/>
      <c r="D17" s="5">
        <v>38882.4916</v>
      </c>
      <c r="E17" s="21">
        <v>11.6</v>
      </c>
      <c r="F17" s="5">
        <v>334495.98</v>
      </c>
      <c r="G17" s="23" t="s">
        <v>449</v>
      </c>
    </row>
    <row r="18" spans="1:7" ht="12.75">
      <c r="A18" s="11" t="s">
        <v>155</v>
      </c>
      <c r="B18" s="9"/>
      <c r="C18" s="21"/>
      <c r="D18" s="5">
        <v>33414.4285</v>
      </c>
      <c r="E18" s="21">
        <v>9.9</v>
      </c>
      <c r="F18" s="5">
        <v>336850.9751</v>
      </c>
      <c r="G18" s="23" t="s">
        <v>449</v>
      </c>
    </row>
    <row r="19" spans="1:7" ht="12.75">
      <c r="A19" s="11" t="s">
        <v>157</v>
      </c>
      <c r="B19" s="9"/>
      <c r="C19" s="21"/>
      <c r="D19" s="5">
        <v>24677.190199999997</v>
      </c>
      <c r="E19" s="21">
        <v>8.3</v>
      </c>
      <c r="F19" s="5">
        <v>295936.594</v>
      </c>
      <c r="G19" s="23" t="s">
        <v>449</v>
      </c>
    </row>
    <row r="20" spans="1:7" ht="12.75">
      <c r="A20" s="11" t="s">
        <v>160</v>
      </c>
      <c r="B20" s="9">
        <v>64704.1654</v>
      </c>
      <c r="C20" s="21">
        <v>16.9</v>
      </c>
      <c r="D20" s="5">
        <v>25933.3086</v>
      </c>
      <c r="E20" s="21">
        <v>8.5</v>
      </c>
      <c r="F20" s="5">
        <v>306703.45279999997</v>
      </c>
      <c r="G20" s="23" t="s">
        <v>449</v>
      </c>
    </row>
    <row r="21" spans="1:7" ht="12.75">
      <c r="A21" s="11" t="s">
        <v>162</v>
      </c>
      <c r="B21" s="9">
        <v>86559.1734</v>
      </c>
      <c r="C21" s="21">
        <v>21.5</v>
      </c>
      <c r="D21" s="5">
        <v>37845.5586</v>
      </c>
      <c r="E21" s="21">
        <v>9.4</v>
      </c>
      <c r="F21" s="5">
        <v>403223.5362</v>
      </c>
      <c r="G21" s="5">
        <v>55310.399040625</v>
      </c>
    </row>
    <row r="22" spans="1:7" ht="12.75">
      <c r="A22" s="11" t="s">
        <v>165</v>
      </c>
      <c r="B22" s="9">
        <v>120569.6682</v>
      </c>
      <c r="C22" s="21">
        <v>25.1</v>
      </c>
      <c r="D22" s="5">
        <v>67168.0725</v>
      </c>
      <c r="E22" s="21">
        <v>14</v>
      </c>
      <c r="F22" s="5">
        <v>479925.266</v>
      </c>
      <c r="G22" s="5">
        <v>61745.233406249994</v>
      </c>
    </row>
    <row r="23" spans="1:7" ht="12.75">
      <c r="A23" s="11" t="s">
        <v>168</v>
      </c>
      <c r="B23" s="9">
        <v>114623.9806</v>
      </c>
      <c r="C23" s="21">
        <v>22.1</v>
      </c>
      <c r="D23" s="5">
        <v>59279.4402</v>
      </c>
      <c r="E23" s="21">
        <v>11.4</v>
      </c>
      <c r="F23" s="5">
        <v>518775.99159999995</v>
      </c>
      <c r="G23" s="5">
        <v>72843.75477249999</v>
      </c>
    </row>
    <row r="24" spans="1:7" ht="12.75">
      <c r="A24" s="11" t="s">
        <v>171</v>
      </c>
      <c r="B24" s="9">
        <v>112044.5814</v>
      </c>
      <c r="C24" s="21">
        <v>22.3</v>
      </c>
      <c r="D24" s="5">
        <v>54682.4462</v>
      </c>
      <c r="E24" s="21">
        <v>11.4</v>
      </c>
      <c r="F24" s="5">
        <v>481873.20249999996</v>
      </c>
      <c r="G24" s="5">
        <v>79582.11752249999</v>
      </c>
    </row>
    <row r="25" spans="1:7" ht="12.75">
      <c r="A25" s="11" t="s">
        <v>174</v>
      </c>
      <c r="B25" s="9">
        <v>137926.61059999999</v>
      </c>
      <c r="C25" s="21">
        <v>24.6</v>
      </c>
      <c r="D25" s="5">
        <v>56010.0381</v>
      </c>
      <c r="E25" s="21">
        <v>10</v>
      </c>
      <c r="F25" s="5">
        <v>561349.4654999999</v>
      </c>
      <c r="G25" s="5">
        <v>109161.646725</v>
      </c>
    </row>
    <row r="26" spans="1:7" ht="12.75">
      <c r="A26" s="11" t="s">
        <v>179</v>
      </c>
      <c r="B26" s="9">
        <v>131020.22839999999</v>
      </c>
      <c r="C26" s="21">
        <v>21.9</v>
      </c>
      <c r="D26" s="5">
        <v>64987.1097</v>
      </c>
      <c r="E26" s="21">
        <v>10.5</v>
      </c>
      <c r="F26" s="5">
        <v>619495.0864</v>
      </c>
      <c r="G26" s="5">
        <v>126354.53475249998</v>
      </c>
    </row>
    <row r="27" spans="1:7" ht="12.75">
      <c r="A27" s="11" t="s">
        <v>180</v>
      </c>
      <c r="B27" s="9">
        <v>129075.6954</v>
      </c>
      <c r="C27" s="21">
        <v>24.1</v>
      </c>
      <c r="D27" s="5">
        <v>62426.5432</v>
      </c>
      <c r="E27" s="21">
        <v>9.3</v>
      </c>
      <c r="F27" s="5">
        <v>536062.8219</v>
      </c>
      <c r="G27" s="5">
        <v>120477.3596075</v>
      </c>
    </row>
    <row r="28" spans="1:7" ht="12.75">
      <c r="A28" s="11" t="s">
        <v>184</v>
      </c>
      <c r="B28" s="9">
        <v>143329.3265</v>
      </c>
      <c r="C28" s="21">
        <v>23.3</v>
      </c>
      <c r="D28" s="5">
        <v>113273.9256</v>
      </c>
      <c r="E28" s="21">
        <v>18.5</v>
      </c>
      <c r="F28" s="5">
        <v>614067.8653</v>
      </c>
      <c r="G28" s="5">
        <v>106318.21817625</v>
      </c>
    </row>
    <row r="29" spans="1:7" ht="12.75">
      <c r="A29" s="11" t="s">
        <v>186</v>
      </c>
      <c r="B29" s="9">
        <v>80303.76729999999</v>
      </c>
      <c r="C29" s="21">
        <v>34.2</v>
      </c>
      <c r="D29" s="5">
        <v>74662.3526</v>
      </c>
      <c r="E29" s="21">
        <v>19.1</v>
      </c>
      <c r="F29" s="5">
        <v>234752.3283</v>
      </c>
      <c r="G29" s="5">
        <v>84424.55634312499</v>
      </c>
    </row>
    <row r="30" spans="1:7" ht="12.75">
      <c r="A30" s="11" t="s">
        <v>189</v>
      </c>
      <c r="B30" s="9">
        <v>47458.1771</v>
      </c>
      <c r="C30" s="21">
        <v>19.7</v>
      </c>
      <c r="D30" s="5">
        <v>61609.0225</v>
      </c>
      <c r="E30" s="21">
        <v>25.6</v>
      </c>
      <c r="F30" s="5">
        <v>240828.2565</v>
      </c>
      <c r="G30" s="5">
        <v>61405.955508750005</v>
      </c>
    </row>
    <row r="31" spans="1:7" ht="12.75">
      <c r="A31" s="11" t="s">
        <v>191</v>
      </c>
      <c r="B31" s="9">
        <v>19791.1256</v>
      </c>
      <c r="C31" s="21"/>
      <c r="D31" s="5">
        <v>57385.7328</v>
      </c>
      <c r="E31" s="21"/>
      <c r="F31" s="5">
        <v>0</v>
      </c>
      <c r="G31" s="5">
        <v>36564.800278124996</v>
      </c>
    </row>
    <row r="32" spans="1:6" ht="12.75">
      <c r="A32" s="11"/>
      <c r="B32" s="9"/>
      <c r="C32" s="21"/>
      <c r="D32" s="5"/>
      <c r="E32" s="21"/>
      <c r="F32" s="5"/>
    </row>
    <row r="33" spans="1:6" ht="12.75">
      <c r="A33" s="11"/>
      <c r="B33" s="9"/>
      <c r="C33" s="21"/>
      <c r="D33" s="5"/>
      <c r="E33" s="21"/>
      <c r="F33" s="5"/>
    </row>
    <row r="34" spans="1:6" ht="12.75">
      <c r="A34" s="11"/>
      <c r="B34" s="9"/>
      <c r="C34" s="21"/>
      <c r="D34" s="5"/>
      <c r="E34" s="21"/>
      <c r="F34" s="5"/>
    </row>
    <row r="35" spans="1:6" ht="12.75">
      <c r="A35" s="11"/>
      <c r="B35" s="9"/>
      <c r="C35" s="21"/>
      <c r="D35" s="5"/>
      <c r="E35" s="21"/>
      <c r="F35" s="5"/>
    </row>
    <row r="36" spans="1:6" ht="12.75">
      <c r="A36" s="11"/>
      <c r="B36" s="9"/>
      <c r="C36" s="21"/>
      <c r="D36" s="5"/>
      <c r="E36" s="21"/>
      <c r="F36" s="5"/>
    </row>
    <row r="40" ht="12.75">
      <c r="A40" s="5" t="s">
        <v>529</v>
      </c>
    </row>
    <row r="41" ht="12.75">
      <c r="A41" s="5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1"/>
  </sheetPr>
  <dimension ref="A1:W45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8.421875" style="1" customWidth="1"/>
    <col min="2" max="2" width="16.00390625" style="10" customWidth="1"/>
    <col min="3" max="13" width="16.00390625" style="9" customWidth="1"/>
    <col min="14" max="14" width="16.28125" style="5" customWidth="1"/>
    <col min="15" max="15" width="8.421875" style="12" customWidth="1"/>
    <col min="16" max="16" width="16.28125" style="5" customWidth="1"/>
    <col min="17" max="17" width="10.140625" style="12" customWidth="1"/>
    <col min="18" max="18" width="16.28125" style="5" customWidth="1"/>
    <col min="19" max="19" width="10.140625" style="12" customWidth="1"/>
    <col min="20" max="21" width="16.28125" style="5" customWidth="1"/>
    <col min="22" max="22" width="13.421875" style="12" customWidth="1"/>
    <col min="23" max="23" width="16.28125" style="5" customWidth="1"/>
  </cols>
  <sheetData>
    <row r="1" ht="12.75">
      <c r="B1" s="10" t="s">
        <v>273</v>
      </c>
    </row>
    <row r="2" ht="12.75">
      <c r="B2" s="10" t="s">
        <v>208</v>
      </c>
    </row>
    <row r="4" spans="1:23" ht="12.75">
      <c r="A4" s="1" t="s">
        <v>269</v>
      </c>
      <c r="B4" s="10" t="s">
        <v>478</v>
      </c>
      <c r="C4" s="10" t="s">
        <v>478</v>
      </c>
      <c r="D4" s="10" t="s">
        <v>501</v>
      </c>
      <c r="E4" s="10" t="s">
        <v>306</v>
      </c>
      <c r="F4" s="10" t="s">
        <v>501</v>
      </c>
      <c r="G4" s="10" t="s">
        <v>439</v>
      </c>
      <c r="H4" s="10" t="s">
        <v>553</v>
      </c>
      <c r="I4" s="10" t="s">
        <v>553</v>
      </c>
      <c r="J4" s="10" t="s">
        <v>438</v>
      </c>
      <c r="K4" s="10" t="s">
        <v>438</v>
      </c>
      <c r="L4" s="10" t="s">
        <v>438</v>
      </c>
      <c r="M4" s="10" t="s">
        <v>438</v>
      </c>
      <c r="N4" s="4" t="s">
        <v>478</v>
      </c>
      <c r="O4" s="14" t="s">
        <v>477</v>
      </c>
      <c r="P4" s="4" t="s">
        <v>306</v>
      </c>
      <c r="Q4" s="1" t="s">
        <v>477</v>
      </c>
      <c r="R4" s="4" t="s">
        <v>439</v>
      </c>
      <c r="S4" s="1" t="s">
        <v>438</v>
      </c>
      <c r="T4" s="4" t="s">
        <v>553</v>
      </c>
      <c r="U4" s="4" t="s">
        <v>438</v>
      </c>
      <c r="V4" s="14" t="s">
        <v>472</v>
      </c>
      <c r="W4" s="4" t="s">
        <v>438</v>
      </c>
    </row>
    <row r="5" spans="2:23" ht="12.75">
      <c r="B5" s="10" t="s">
        <v>503</v>
      </c>
      <c r="C5" s="10" t="s">
        <v>503</v>
      </c>
      <c r="D5" s="10" t="s">
        <v>475</v>
      </c>
      <c r="E5" s="10" t="s">
        <v>328</v>
      </c>
      <c r="F5" s="10" t="s">
        <v>437</v>
      </c>
      <c r="G5" s="10" t="s">
        <v>388</v>
      </c>
      <c r="H5" s="10" t="s">
        <v>546</v>
      </c>
      <c r="I5" s="10" t="s">
        <v>546</v>
      </c>
      <c r="J5" s="10" t="s">
        <v>547</v>
      </c>
      <c r="K5" s="10" t="s">
        <v>547</v>
      </c>
      <c r="L5" s="10" t="s">
        <v>551</v>
      </c>
      <c r="M5" s="10" t="s">
        <v>551</v>
      </c>
      <c r="N5" s="4" t="s">
        <v>503</v>
      </c>
      <c r="O5" s="14" t="s">
        <v>513</v>
      </c>
      <c r="P5" s="4" t="s">
        <v>328</v>
      </c>
      <c r="Q5" s="14" t="s">
        <v>471</v>
      </c>
      <c r="R5" s="4" t="s">
        <v>388</v>
      </c>
      <c r="S5" s="14" t="s">
        <v>471</v>
      </c>
      <c r="T5" s="4" t="s">
        <v>546</v>
      </c>
      <c r="U5" s="4" t="s">
        <v>547</v>
      </c>
      <c r="V5" s="14" t="s">
        <v>434</v>
      </c>
      <c r="W5" s="4" t="s">
        <v>551</v>
      </c>
    </row>
    <row r="6" spans="2:23" ht="12.75">
      <c r="B6" s="10" t="s">
        <v>391</v>
      </c>
      <c r="C6" s="10" t="s">
        <v>391</v>
      </c>
      <c r="D6" s="10" t="s">
        <v>461</v>
      </c>
      <c r="E6" s="10" t="s">
        <v>388</v>
      </c>
      <c r="F6" s="10" t="s">
        <v>461</v>
      </c>
      <c r="G6" s="10" t="s">
        <v>302</v>
      </c>
      <c r="H6" s="10" t="s">
        <v>476</v>
      </c>
      <c r="I6" s="10" t="s">
        <v>476</v>
      </c>
      <c r="J6" s="10" t="s">
        <v>340</v>
      </c>
      <c r="K6" s="10" t="s">
        <v>331</v>
      </c>
      <c r="L6" s="10" t="s">
        <v>500</v>
      </c>
      <c r="M6" s="10" t="s">
        <v>500</v>
      </c>
      <c r="N6" s="4" t="s">
        <v>391</v>
      </c>
      <c r="O6" s="14" t="s">
        <v>502</v>
      </c>
      <c r="P6" s="4" t="s">
        <v>388</v>
      </c>
      <c r="Q6" s="14" t="s">
        <v>463</v>
      </c>
      <c r="R6" s="4" t="s">
        <v>302</v>
      </c>
      <c r="S6" s="14" t="s">
        <v>463</v>
      </c>
      <c r="T6" s="4" t="s">
        <v>476</v>
      </c>
      <c r="U6" s="4" t="s">
        <v>331</v>
      </c>
      <c r="V6" s="14" t="s">
        <v>551</v>
      </c>
      <c r="W6" s="4" t="s">
        <v>500</v>
      </c>
    </row>
    <row r="7" spans="2:23" ht="12.75">
      <c r="B7" s="10" t="s">
        <v>340</v>
      </c>
      <c r="C7" s="10" t="s">
        <v>335</v>
      </c>
      <c r="E7" s="10" t="s">
        <v>302</v>
      </c>
      <c r="F7" s="10" t="s">
        <v>546</v>
      </c>
      <c r="G7" s="10" t="s">
        <v>546</v>
      </c>
      <c r="H7" s="10" t="s">
        <v>340</v>
      </c>
      <c r="I7" s="10" t="s">
        <v>333</v>
      </c>
      <c r="J7" s="10" t="s">
        <v>195</v>
      </c>
      <c r="K7" s="10" t="s">
        <v>302</v>
      </c>
      <c r="L7" s="10" t="s">
        <v>340</v>
      </c>
      <c r="M7" s="10" t="s">
        <v>330</v>
      </c>
      <c r="N7" s="4" t="s">
        <v>335</v>
      </c>
      <c r="O7" s="14"/>
      <c r="P7" s="4" t="s">
        <v>302</v>
      </c>
      <c r="Q7" s="14" t="s">
        <v>546</v>
      </c>
      <c r="R7" s="4" t="s">
        <v>546</v>
      </c>
      <c r="S7" s="14" t="s">
        <v>546</v>
      </c>
      <c r="T7" s="4" t="s">
        <v>333</v>
      </c>
      <c r="U7" s="4" t="s">
        <v>302</v>
      </c>
      <c r="V7" s="14" t="s">
        <v>547</v>
      </c>
      <c r="W7" s="4" t="s">
        <v>330</v>
      </c>
    </row>
    <row r="8" spans="2:23" ht="12.75">
      <c r="B8" s="10" t="s">
        <v>272</v>
      </c>
      <c r="C8" s="10" t="s">
        <v>272</v>
      </c>
      <c r="D8" s="10" t="s">
        <v>272</v>
      </c>
      <c r="E8" s="10" t="s">
        <v>272</v>
      </c>
      <c r="F8" s="10" t="s">
        <v>272</v>
      </c>
      <c r="G8" s="10" t="s">
        <v>272</v>
      </c>
      <c r="H8" s="10" t="s">
        <v>272</v>
      </c>
      <c r="I8" s="10" t="s">
        <v>272</v>
      </c>
      <c r="J8" s="10" t="s">
        <v>272</v>
      </c>
      <c r="K8" s="10" t="s">
        <v>272</v>
      </c>
      <c r="L8" s="10" t="s">
        <v>272</v>
      </c>
      <c r="M8" s="10" t="s">
        <v>272</v>
      </c>
      <c r="N8" s="4" t="s">
        <v>271</v>
      </c>
      <c r="P8" s="4" t="s">
        <v>271</v>
      </c>
      <c r="R8" s="4" t="s">
        <v>271</v>
      </c>
      <c r="T8" s="4" t="s">
        <v>271</v>
      </c>
      <c r="U8" s="4" t="s">
        <v>271</v>
      </c>
      <c r="W8" s="4" t="s">
        <v>271</v>
      </c>
    </row>
    <row r="10" spans="1:23" ht="12.75">
      <c r="A10" s="1" t="s">
        <v>77</v>
      </c>
      <c r="B10" s="9"/>
      <c r="F10" s="9">
        <v>9040136</v>
      </c>
      <c r="G10" s="9">
        <v>231075</v>
      </c>
      <c r="J10" s="9">
        <v>1259651</v>
      </c>
      <c r="K10" s="9">
        <v>32198</v>
      </c>
      <c r="L10" s="9">
        <f aca="true" t="shared" si="0" ref="L10:L31">F10+J10</f>
        <v>10299787</v>
      </c>
      <c r="M10" s="9">
        <f aca="true" t="shared" si="1" ref="M10:M31">G10+K10</f>
        <v>263273</v>
      </c>
      <c r="N10" s="5">
        <f aca="true" t="shared" si="2" ref="N10:N26">C10/10</f>
        <v>0</v>
      </c>
      <c r="P10" s="5" t="s">
        <v>2</v>
      </c>
      <c r="R10" s="5">
        <f aca="true" t="shared" si="3" ref="R10:R31">G10/10</f>
        <v>23107.5</v>
      </c>
      <c r="T10" s="5" t="s">
        <v>2</v>
      </c>
      <c r="U10" s="5">
        <f aca="true" t="shared" si="4" ref="U10:U31">K10/10</f>
        <v>3219.8</v>
      </c>
      <c r="V10" s="12">
        <f aca="true" t="shared" si="5" ref="V10:V31">U10/W10</f>
        <v>0.12229890645831515</v>
      </c>
      <c r="W10" s="5">
        <f aca="true" t="shared" si="6" ref="W10:W31">M10/10</f>
        <v>26327.3</v>
      </c>
    </row>
    <row r="11" spans="1:23" ht="12.75">
      <c r="A11" s="1" t="s">
        <v>79</v>
      </c>
      <c r="B11" s="9">
        <v>33683302</v>
      </c>
      <c r="C11" s="9">
        <v>860979</v>
      </c>
      <c r="D11" s="9">
        <v>19957476</v>
      </c>
      <c r="E11" s="9">
        <v>510133</v>
      </c>
      <c r="F11" s="9">
        <v>9333073</v>
      </c>
      <c r="G11" s="9">
        <v>238563</v>
      </c>
      <c r="H11" s="9">
        <f aca="true" t="shared" si="7" ref="H11:H26">D11+F11</f>
        <v>29290549</v>
      </c>
      <c r="I11" s="9">
        <f aca="true" t="shared" si="8" ref="I11:I26">E11+G11</f>
        <v>748696</v>
      </c>
      <c r="J11" s="9">
        <v>466016</v>
      </c>
      <c r="K11" s="9">
        <v>11912</v>
      </c>
      <c r="L11" s="9">
        <f t="shared" si="0"/>
        <v>9799089</v>
      </c>
      <c r="M11" s="9">
        <f t="shared" si="1"/>
        <v>250475</v>
      </c>
      <c r="N11" s="5">
        <f t="shared" si="2"/>
        <v>86097.9</v>
      </c>
      <c r="O11" s="12">
        <f aca="true" t="shared" si="9" ref="O11:O26">1-(P11/N11)</f>
        <v>0.4074965823788965</v>
      </c>
      <c r="P11" s="5">
        <f aca="true" t="shared" si="10" ref="P11:P26">E11/10</f>
        <v>51013.3</v>
      </c>
      <c r="Q11" s="12">
        <f aca="true" t="shared" si="11" ref="Q11:Q26">P11/T11</f>
        <v>0.6813619947214891</v>
      </c>
      <c r="R11" s="5">
        <f t="shared" si="3"/>
        <v>23856.3</v>
      </c>
      <c r="S11" s="12">
        <f aca="true" t="shared" si="12" ref="S11:S26">R11/T11</f>
        <v>0.3186380052785109</v>
      </c>
      <c r="T11" s="5">
        <f aca="true" t="shared" si="13" ref="T11:T26">I11/10</f>
        <v>74869.6</v>
      </c>
      <c r="U11" s="5">
        <f t="shared" si="4"/>
        <v>1191.2</v>
      </c>
      <c r="V11" s="12">
        <f t="shared" si="5"/>
        <v>0.04755764048308215</v>
      </c>
      <c r="W11" s="5">
        <f t="shared" si="6"/>
        <v>25047.5</v>
      </c>
    </row>
    <row r="12" spans="1:23" ht="12.75">
      <c r="A12" s="1" t="s">
        <v>87</v>
      </c>
      <c r="B12" s="9">
        <v>38006115</v>
      </c>
      <c r="C12" s="9">
        <v>971474</v>
      </c>
      <c r="D12" s="9">
        <v>17249406</v>
      </c>
      <c r="E12" s="9">
        <v>440912</v>
      </c>
      <c r="F12" s="9">
        <v>10711341</v>
      </c>
      <c r="G12" s="9">
        <v>273793</v>
      </c>
      <c r="H12" s="9">
        <f t="shared" si="7"/>
        <v>27960747</v>
      </c>
      <c r="I12" s="9">
        <f t="shared" si="8"/>
        <v>714705</v>
      </c>
      <c r="J12" s="9">
        <v>1174782</v>
      </c>
      <c r="K12" s="9">
        <v>30030</v>
      </c>
      <c r="L12" s="9">
        <f t="shared" si="0"/>
        <v>11886123</v>
      </c>
      <c r="M12" s="9">
        <f t="shared" si="1"/>
        <v>303823</v>
      </c>
      <c r="N12" s="5">
        <f t="shared" si="2"/>
        <v>97147.4</v>
      </c>
      <c r="O12" s="12">
        <f t="shared" si="9"/>
        <v>0.5461412245721451</v>
      </c>
      <c r="P12" s="5">
        <f t="shared" si="10"/>
        <v>44091.2</v>
      </c>
      <c r="Q12" s="12">
        <f t="shared" si="11"/>
        <v>0.6169146710880713</v>
      </c>
      <c r="R12" s="5">
        <f t="shared" si="3"/>
        <v>27379.3</v>
      </c>
      <c r="S12" s="12">
        <f t="shared" si="12"/>
        <v>0.3830853289119287</v>
      </c>
      <c r="T12" s="5">
        <f t="shared" si="13"/>
        <v>71470.5</v>
      </c>
      <c r="U12" s="5">
        <f t="shared" si="4"/>
        <v>3003</v>
      </c>
      <c r="V12" s="12">
        <f t="shared" si="5"/>
        <v>0.09884044328441231</v>
      </c>
      <c r="W12" s="5">
        <f t="shared" si="6"/>
        <v>30382.3</v>
      </c>
    </row>
    <row r="13" spans="1:23" ht="12.75">
      <c r="A13" s="1" t="s">
        <v>90</v>
      </c>
      <c r="B13" s="9">
        <v>34664082</v>
      </c>
      <c r="C13" s="9">
        <v>886049</v>
      </c>
      <c r="D13" s="9">
        <v>11711677</v>
      </c>
      <c r="E13" s="9">
        <v>299362</v>
      </c>
      <c r="F13" s="9">
        <v>6104678</v>
      </c>
      <c r="G13" s="9">
        <v>156042</v>
      </c>
      <c r="H13" s="9">
        <f t="shared" si="7"/>
        <v>17816355</v>
      </c>
      <c r="I13" s="9">
        <f t="shared" si="8"/>
        <v>455404</v>
      </c>
      <c r="J13" s="9">
        <v>2541652</v>
      </c>
      <c r="K13" s="9">
        <v>64967</v>
      </c>
      <c r="L13" s="9">
        <f t="shared" si="0"/>
        <v>8646330</v>
      </c>
      <c r="M13" s="9">
        <f t="shared" si="1"/>
        <v>221009</v>
      </c>
      <c r="N13" s="5">
        <f t="shared" si="2"/>
        <v>88604.9</v>
      </c>
      <c r="O13" s="12">
        <f t="shared" si="9"/>
        <v>0.6621383241784596</v>
      </c>
      <c r="P13" s="5">
        <f t="shared" si="10"/>
        <v>29936.2</v>
      </c>
      <c r="Q13" s="12">
        <f t="shared" si="11"/>
        <v>0.6573547882759044</v>
      </c>
      <c r="R13" s="5">
        <f t="shared" si="3"/>
        <v>15604.2</v>
      </c>
      <c r="S13" s="12">
        <f t="shared" si="12"/>
        <v>0.3426452117240955</v>
      </c>
      <c r="T13" s="5">
        <f t="shared" si="13"/>
        <v>45540.4</v>
      </c>
      <c r="U13" s="5">
        <f t="shared" si="4"/>
        <v>6496.7</v>
      </c>
      <c r="V13" s="12">
        <f t="shared" si="5"/>
        <v>0.2939563547185861</v>
      </c>
      <c r="W13" s="5">
        <f t="shared" si="6"/>
        <v>22100.9</v>
      </c>
    </row>
    <row r="14" spans="1:23" ht="12.75">
      <c r="A14" s="1" t="s">
        <v>94</v>
      </c>
      <c r="B14" s="9">
        <v>33319795</v>
      </c>
      <c r="C14" s="9">
        <v>851687</v>
      </c>
      <c r="D14" s="9">
        <v>11533339</v>
      </c>
      <c r="E14" s="9">
        <v>295315</v>
      </c>
      <c r="F14" s="9">
        <v>6606659</v>
      </c>
      <c r="G14" s="9">
        <v>168873</v>
      </c>
      <c r="H14" s="9">
        <f t="shared" si="7"/>
        <v>18139998</v>
      </c>
      <c r="I14" s="9">
        <f t="shared" si="8"/>
        <v>464188</v>
      </c>
      <c r="J14" s="9">
        <v>3620573</v>
      </c>
      <c r="K14" s="9">
        <v>92545</v>
      </c>
      <c r="L14" s="9">
        <f t="shared" si="0"/>
        <v>10227232</v>
      </c>
      <c r="M14" s="9">
        <f t="shared" si="1"/>
        <v>261418</v>
      </c>
      <c r="N14" s="5">
        <f t="shared" si="2"/>
        <v>85168.7</v>
      </c>
      <c r="O14" s="12">
        <f t="shared" si="9"/>
        <v>0.6532587675988949</v>
      </c>
      <c r="P14" s="5">
        <f t="shared" si="10"/>
        <v>29531.5</v>
      </c>
      <c r="Q14" s="12">
        <f t="shared" si="11"/>
        <v>0.636196971916551</v>
      </c>
      <c r="R14" s="5">
        <f t="shared" si="3"/>
        <v>16887.3</v>
      </c>
      <c r="S14" s="12">
        <f t="shared" si="12"/>
        <v>0.3638030280834489</v>
      </c>
      <c r="T14" s="5">
        <f t="shared" si="13"/>
        <v>46418.8</v>
      </c>
      <c r="U14" s="5">
        <f t="shared" si="4"/>
        <v>9254.5</v>
      </c>
      <c r="V14" s="12">
        <f t="shared" si="5"/>
        <v>0.3540115829820441</v>
      </c>
      <c r="W14" s="5">
        <f t="shared" si="6"/>
        <v>26141.8</v>
      </c>
    </row>
    <row r="15" spans="1:23" ht="12.75">
      <c r="A15" s="1" t="s">
        <v>97</v>
      </c>
      <c r="B15" s="9">
        <v>37686150</v>
      </c>
      <c r="C15" s="9">
        <v>963296</v>
      </c>
      <c r="D15" s="9">
        <v>17484705</v>
      </c>
      <c r="E15" s="9">
        <v>446927</v>
      </c>
      <c r="F15" s="9">
        <v>8732471</v>
      </c>
      <c r="G15" s="9">
        <v>223211</v>
      </c>
      <c r="H15" s="9">
        <f t="shared" si="7"/>
        <v>26217176</v>
      </c>
      <c r="I15" s="9">
        <f t="shared" si="8"/>
        <v>670138</v>
      </c>
      <c r="J15" s="9">
        <v>3672874</v>
      </c>
      <c r="K15" s="9">
        <v>93882</v>
      </c>
      <c r="L15" s="9">
        <f t="shared" si="0"/>
        <v>12405345</v>
      </c>
      <c r="M15" s="9">
        <f t="shared" si="1"/>
        <v>317093</v>
      </c>
      <c r="N15" s="5">
        <f t="shared" si="2"/>
        <v>96329.6</v>
      </c>
      <c r="O15" s="12">
        <f t="shared" si="9"/>
        <v>0.5360439574128826</v>
      </c>
      <c r="P15" s="5">
        <f t="shared" si="10"/>
        <v>44692.7</v>
      </c>
      <c r="Q15" s="12">
        <f t="shared" si="11"/>
        <v>0.6669178587096986</v>
      </c>
      <c r="R15" s="5">
        <f t="shared" si="3"/>
        <v>22321.1</v>
      </c>
      <c r="S15" s="12">
        <f t="shared" si="12"/>
        <v>0.33308214129030134</v>
      </c>
      <c r="T15" s="5">
        <f t="shared" si="13"/>
        <v>67013.8</v>
      </c>
      <c r="U15" s="5">
        <f t="shared" si="4"/>
        <v>9388.2</v>
      </c>
      <c r="V15" s="12">
        <f t="shared" si="5"/>
        <v>0.2960708687987436</v>
      </c>
      <c r="W15" s="5">
        <f t="shared" si="6"/>
        <v>31709.3</v>
      </c>
    </row>
    <row r="16" spans="1:23" ht="12.75">
      <c r="A16" s="1" t="s">
        <v>100</v>
      </c>
      <c r="B16" s="9">
        <v>44162913</v>
      </c>
      <c r="C16" s="9">
        <v>1128848</v>
      </c>
      <c r="D16" s="9">
        <v>14956483</v>
      </c>
      <c r="E16" s="9">
        <v>382302</v>
      </c>
      <c r="F16" s="9">
        <v>2981421</v>
      </c>
      <c r="G16" s="9">
        <v>76208</v>
      </c>
      <c r="H16" s="9">
        <f t="shared" si="7"/>
        <v>17937904</v>
      </c>
      <c r="I16" s="9">
        <f t="shared" si="8"/>
        <v>458510</v>
      </c>
      <c r="J16" s="9">
        <v>2206810</v>
      </c>
      <c r="K16" s="9">
        <v>56408</v>
      </c>
      <c r="L16" s="9">
        <f t="shared" si="0"/>
        <v>5188231</v>
      </c>
      <c r="M16" s="9">
        <f t="shared" si="1"/>
        <v>132616</v>
      </c>
      <c r="N16" s="5">
        <f t="shared" si="2"/>
        <v>112884.8</v>
      </c>
      <c r="O16" s="12">
        <f t="shared" si="9"/>
        <v>0.6613343869148016</v>
      </c>
      <c r="P16" s="5">
        <f t="shared" si="10"/>
        <v>38230.2</v>
      </c>
      <c r="Q16" s="12">
        <f t="shared" si="11"/>
        <v>0.8337920656038036</v>
      </c>
      <c r="R16" s="5">
        <f t="shared" si="3"/>
        <v>7620.8</v>
      </c>
      <c r="S16" s="12">
        <f t="shared" si="12"/>
        <v>0.16620793439619638</v>
      </c>
      <c r="T16" s="5">
        <f t="shared" si="13"/>
        <v>45851</v>
      </c>
      <c r="U16" s="5">
        <f t="shared" si="4"/>
        <v>5640.8</v>
      </c>
      <c r="V16" s="12">
        <f t="shared" si="5"/>
        <v>0.42534837425348376</v>
      </c>
      <c r="W16" s="5">
        <f t="shared" si="6"/>
        <v>13261.6</v>
      </c>
    </row>
    <row r="17" spans="1:23" ht="12.75">
      <c r="A17" s="1" t="s">
        <v>104</v>
      </c>
      <c r="B17" s="9">
        <v>32077933</v>
      </c>
      <c r="C17" s="9">
        <v>819944</v>
      </c>
      <c r="D17" s="9">
        <v>8595357</v>
      </c>
      <c r="E17" s="9">
        <v>219706</v>
      </c>
      <c r="F17" s="9">
        <v>4317139</v>
      </c>
      <c r="G17" s="9">
        <v>110350</v>
      </c>
      <c r="H17" s="9">
        <f t="shared" si="7"/>
        <v>12912496</v>
      </c>
      <c r="I17" s="9">
        <f t="shared" si="8"/>
        <v>330056</v>
      </c>
      <c r="J17" s="9">
        <v>1508388</v>
      </c>
      <c r="K17" s="9">
        <v>38556</v>
      </c>
      <c r="L17" s="9">
        <f t="shared" si="0"/>
        <v>5825527</v>
      </c>
      <c r="M17" s="9">
        <f t="shared" si="1"/>
        <v>148906</v>
      </c>
      <c r="N17" s="5">
        <f t="shared" si="2"/>
        <v>81994.4</v>
      </c>
      <c r="O17" s="12">
        <f t="shared" si="9"/>
        <v>0.7320475544671343</v>
      </c>
      <c r="P17" s="5">
        <f t="shared" si="10"/>
        <v>21970.6</v>
      </c>
      <c r="Q17" s="12">
        <f t="shared" si="11"/>
        <v>0.6656627966163318</v>
      </c>
      <c r="R17" s="5">
        <f t="shared" si="3"/>
        <v>11035</v>
      </c>
      <c r="S17" s="12">
        <f t="shared" si="12"/>
        <v>0.33433720338366824</v>
      </c>
      <c r="T17" s="5">
        <f t="shared" si="13"/>
        <v>33005.6</v>
      </c>
      <c r="U17" s="5">
        <f t="shared" si="4"/>
        <v>3855.6</v>
      </c>
      <c r="V17" s="12">
        <f t="shared" si="5"/>
        <v>0.25892845150631943</v>
      </c>
      <c r="W17" s="5">
        <f t="shared" si="6"/>
        <v>14890.6</v>
      </c>
    </row>
    <row r="18" spans="1:23" ht="12.75">
      <c r="A18" s="1" t="s">
        <v>108</v>
      </c>
      <c r="B18" s="9">
        <v>30655309</v>
      </c>
      <c r="C18" s="9">
        <v>783580</v>
      </c>
      <c r="D18" s="9">
        <v>3568493</v>
      </c>
      <c r="E18" s="9">
        <v>91214</v>
      </c>
      <c r="F18" s="9">
        <v>3991220</v>
      </c>
      <c r="G18" s="9">
        <v>102020</v>
      </c>
      <c r="H18" s="9">
        <f t="shared" si="7"/>
        <v>7559713</v>
      </c>
      <c r="I18" s="9">
        <f t="shared" si="8"/>
        <v>193234</v>
      </c>
      <c r="J18" s="9">
        <v>1379509</v>
      </c>
      <c r="K18" s="9">
        <v>35262</v>
      </c>
      <c r="L18" s="9">
        <f t="shared" si="0"/>
        <v>5370729</v>
      </c>
      <c r="M18" s="9">
        <f t="shared" si="1"/>
        <v>137282</v>
      </c>
      <c r="N18" s="5">
        <f t="shared" si="2"/>
        <v>78358</v>
      </c>
      <c r="O18" s="12">
        <f t="shared" si="9"/>
        <v>0.8835932514867659</v>
      </c>
      <c r="P18" s="5">
        <f t="shared" si="10"/>
        <v>9121.4</v>
      </c>
      <c r="Q18" s="12">
        <f t="shared" si="11"/>
        <v>0.4720390821491041</v>
      </c>
      <c r="R18" s="5">
        <f t="shared" si="3"/>
        <v>10202</v>
      </c>
      <c r="S18" s="12">
        <f t="shared" si="12"/>
        <v>0.5279609178508957</v>
      </c>
      <c r="T18" s="5">
        <f t="shared" si="13"/>
        <v>19323.4</v>
      </c>
      <c r="U18" s="5">
        <f t="shared" si="4"/>
        <v>3526.2</v>
      </c>
      <c r="V18" s="12">
        <f t="shared" si="5"/>
        <v>0.25685814600603135</v>
      </c>
      <c r="W18" s="5">
        <f t="shared" si="6"/>
        <v>13728.2</v>
      </c>
    </row>
    <row r="19" spans="1:23" ht="12.75">
      <c r="A19" s="1" t="s">
        <v>111</v>
      </c>
      <c r="B19" s="9">
        <v>27249881</v>
      </c>
      <c r="C19" s="9">
        <v>696534</v>
      </c>
      <c r="D19" s="9">
        <v>2089103</v>
      </c>
      <c r="E19" s="9">
        <v>53400</v>
      </c>
      <c r="F19" s="9">
        <v>9967125</v>
      </c>
      <c r="G19" s="9">
        <v>254770</v>
      </c>
      <c r="H19" s="9">
        <f t="shared" si="7"/>
        <v>12056228</v>
      </c>
      <c r="I19" s="9">
        <f t="shared" si="8"/>
        <v>308170</v>
      </c>
      <c r="J19" s="9">
        <v>1628439</v>
      </c>
      <c r="K19" s="9">
        <v>41625</v>
      </c>
      <c r="L19" s="9">
        <f t="shared" si="0"/>
        <v>11595564</v>
      </c>
      <c r="M19" s="9">
        <f t="shared" si="1"/>
        <v>296395</v>
      </c>
      <c r="N19" s="5">
        <f t="shared" si="2"/>
        <v>69653.4</v>
      </c>
      <c r="O19" s="12">
        <f t="shared" si="9"/>
        <v>0.9233346828726235</v>
      </c>
      <c r="P19" s="5">
        <f t="shared" si="10"/>
        <v>5340</v>
      </c>
      <c r="Q19" s="12">
        <f t="shared" si="11"/>
        <v>0.17328098127656813</v>
      </c>
      <c r="R19" s="5">
        <f t="shared" si="3"/>
        <v>25477</v>
      </c>
      <c r="S19" s="12">
        <f t="shared" si="12"/>
        <v>0.8267190187234319</v>
      </c>
      <c r="T19" s="5">
        <f t="shared" si="13"/>
        <v>30817</v>
      </c>
      <c r="U19" s="5">
        <f t="shared" si="4"/>
        <v>4162.5</v>
      </c>
      <c r="V19" s="12">
        <f t="shared" si="5"/>
        <v>0.14043759172725587</v>
      </c>
      <c r="W19" s="5">
        <f t="shared" si="6"/>
        <v>29639.5</v>
      </c>
    </row>
    <row r="20" spans="1:23" ht="12.75">
      <c r="A20" s="1" t="s">
        <v>114</v>
      </c>
      <c r="B20" s="9">
        <v>27166234</v>
      </c>
      <c r="C20" s="9">
        <v>694396</v>
      </c>
      <c r="D20" s="9">
        <v>307387</v>
      </c>
      <c r="E20" s="9">
        <v>7857</v>
      </c>
      <c r="F20" s="9">
        <v>4770990</v>
      </c>
      <c r="G20" s="9">
        <v>121951</v>
      </c>
      <c r="H20" s="9">
        <f t="shared" si="7"/>
        <v>5078377</v>
      </c>
      <c r="I20" s="9">
        <f t="shared" si="8"/>
        <v>129808</v>
      </c>
      <c r="J20" s="9">
        <v>1952190</v>
      </c>
      <c r="K20" s="9">
        <v>49900</v>
      </c>
      <c r="L20" s="9">
        <f t="shared" si="0"/>
        <v>6723180</v>
      </c>
      <c r="M20" s="9">
        <f t="shared" si="1"/>
        <v>171851</v>
      </c>
      <c r="N20" s="5">
        <f t="shared" si="2"/>
        <v>69439.6</v>
      </c>
      <c r="O20" s="12">
        <f t="shared" si="9"/>
        <v>0.9886851306747159</v>
      </c>
      <c r="P20" s="5">
        <f t="shared" si="10"/>
        <v>785.7</v>
      </c>
      <c r="Q20" s="12">
        <f t="shared" si="11"/>
        <v>0.06052785652656231</v>
      </c>
      <c r="R20" s="5">
        <f t="shared" si="3"/>
        <v>12195.1</v>
      </c>
      <c r="S20" s="12">
        <f t="shared" si="12"/>
        <v>0.9394721434734378</v>
      </c>
      <c r="T20" s="5">
        <f t="shared" si="13"/>
        <v>12980.8</v>
      </c>
      <c r="U20" s="5">
        <f t="shared" si="4"/>
        <v>4990</v>
      </c>
      <c r="V20" s="12">
        <f t="shared" si="5"/>
        <v>0.2903678186335838</v>
      </c>
      <c r="W20" s="5">
        <f t="shared" si="6"/>
        <v>17185.1</v>
      </c>
    </row>
    <row r="21" spans="1:23" ht="12.75">
      <c r="A21" s="1" t="s">
        <v>116</v>
      </c>
      <c r="B21" s="9">
        <v>19606978</v>
      </c>
      <c r="C21" s="9">
        <v>501174</v>
      </c>
      <c r="D21" s="9">
        <v>842091</v>
      </c>
      <c r="E21" s="9">
        <v>21525</v>
      </c>
      <c r="F21" s="9">
        <v>2580425</v>
      </c>
      <c r="G21" s="9">
        <v>65958</v>
      </c>
      <c r="H21" s="9">
        <f t="shared" si="7"/>
        <v>3422516</v>
      </c>
      <c r="I21" s="9">
        <f t="shared" si="8"/>
        <v>87483</v>
      </c>
      <c r="J21" s="9">
        <v>1661385</v>
      </c>
      <c r="K21" s="9">
        <v>42467</v>
      </c>
      <c r="L21" s="9">
        <f t="shared" si="0"/>
        <v>4241810</v>
      </c>
      <c r="M21" s="9">
        <f t="shared" si="1"/>
        <v>108425</v>
      </c>
      <c r="N21" s="5">
        <f t="shared" si="2"/>
        <v>50117.4</v>
      </c>
      <c r="O21" s="12">
        <f t="shared" si="9"/>
        <v>0.9570508446168396</v>
      </c>
      <c r="P21" s="5">
        <f t="shared" si="10"/>
        <v>2152.5</v>
      </c>
      <c r="Q21" s="12">
        <f t="shared" si="11"/>
        <v>0.2460478035732657</v>
      </c>
      <c r="R21" s="5">
        <f t="shared" si="3"/>
        <v>6595.8</v>
      </c>
      <c r="S21" s="12">
        <f t="shared" si="12"/>
        <v>0.7539521964267344</v>
      </c>
      <c r="T21" s="5">
        <f t="shared" si="13"/>
        <v>8748.3</v>
      </c>
      <c r="U21" s="5">
        <f t="shared" si="4"/>
        <v>4246.7</v>
      </c>
      <c r="V21" s="12">
        <f t="shared" si="5"/>
        <v>0.39167166243947427</v>
      </c>
      <c r="W21" s="5">
        <f t="shared" si="6"/>
        <v>10842.5</v>
      </c>
    </row>
    <row r="22" spans="1:23" ht="12.75">
      <c r="A22" s="1" t="s">
        <v>124</v>
      </c>
      <c r="B22" s="9">
        <v>17338287</v>
      </c>
      <c r="C22" s="9">
        <v>443184</v>
      </c>
      <c r="D22" s="9">
        <v>1658007</v>
      </c>
      <c r="E22" s="9">
        <v>42381</v>
      </c>
      <c r="F22" s="9">
        <v>5240459</v>
      </c>
      <c r="G22" s="9">
        <v>133951</v>
      </c>
      <c r="H22" s="9">
        <f t="shared" si="7"/>
        <v>6898466</v>
      </c>
      <c r="I22" s="9">
        <f t="shared" si="8"/>
        <v>176332</v>
      </c>
      <c r="J22" s="9">
        <v>1248873</v>
      </c>
      <c r="K22" s="9">
        <v>31922</v>
      </c>
      <c r="L22" s="9">
        <f t="shared" si="0"/>
        <v>6489332</v>
      </c>
      <c r="M22" s="9">
        <f t="shared" si="1"/>
        <v>165873</v>
      </c>
      <c r="N22" s="5">
        <f t="shared" si="2"/>
        <v>44318.4</v>
      </c>
      <c r="O22" s="12">
        <f t="shared" si="9"/>
        <v>0.9043715477093036</v>
      </c>
      <c r="P22" s="5">
        <f t="shared" si="10"/>
        <v>4238.1</v>
      </c>
      <c r="Q22" s="12">
        <f t="shared" si="11"/>
        <v>0.24034775310210285</v>
      </c>
      <c r="R22" s="5">
        <f t="shared" si="3"/>
        <v>13395.1</v>
      </c>
      <c r="S22" s="12">
        <f t="shared" si="12"/>
        <v>0.7596522468978971</v>
      </c>
      <c r="T22" s="5">
        <f t="shared" si="13"/>
        <v>17633.2</v>
      </c>
      <c r="U22" s="5">
        <f t="shared" si="4"/>
        <v>3192.2</v>
      </c>
      <c r="V22" s="12">
        <f t="shared" si="5"/>
        <v>0.19244843946875018</v>
      </c>
      <c r="W22" s="5">
        <f t="shared" si="6"/>
        <v>16587.3</v>
      </c>
    </row>
    <row r="23" spans="1:23" ht="12.75">
      <c r="A23" s="1" t="s">
        <v>130</v>
      </c>
      <c r="B23" s="9">
        <v>9564178</v>
      </c>
      <c r="C23" s="9">
        <v>244470</v>
      </c>
      <c r="D23" s="9">
        <v>77411</v>
      </c>
      <c r="E23" s="9">
        <v>1978</v>
      </c>
      <c r="F23" s="9">
        <v>7186736</v>
      </c>
      <c r="G23" s="9">
        <v>183700</v>
      </c>
      <c r="H23" s="9">
        <f t="shared" si="7"/>
        <v>7264147</v>
      </c>
      <c r="I23" s="9">
        <f t="shared" si="8"/>
        <v>185678</v>
      </c>
      <c r="J23" s="9">
        <v>1010868</v>
      </c>
      <c r="K23" s="9">
        <v>25839</v>
      </c>
      <c r="L23" s="9">
        <f t="shared" si="0"/>
        <v>8197604</v>
      </c>
      <c r="M23" s="9">
        <f t="shared" si="1"/>
        <v>209539</v>
      </c>
      <c r="N23" s="5">
        <f t="shared" si="2"/>
        <v>24447</v>
      </c>
      <c r="O23" s="12">
        <f t="shared" si="9"/>
        <v>0.9919090276925594</v>
      </c>
      <c r="P23" s="5">
        <f t="shared" si="10"/>
        <v>197.8</v>
      </c>
      <c r="Q23" s="12">
        <f t="shared" si="11"/>
        <v>0.010652850633893084</v>
      </c>
      <c r="R23" s="5">
        <f t="shared" si="3"/>
        <v>18370</v>
      </c>
      <c r="S23" s="12">
        <f t="shared" si="12"/>
        <v>0.9893471493661069</v>
      </c>
      <c r="T23" s="5">
        <f t="shared" si="13"/>
        <v>18567.8</v>
      </c>
      <c r="U23" s="5">
        <f t="shared" si="4"/>
        <v>2583.9</v>
      </c>
      <c r="V23" s="12">
        <f t="shared" si="5"/>
        <v>0.1233135597669169</v>
      </c>
      <c r="W23" s="5">
        <f t="shared" si="6"/>
        <v>20953.9</v>
      </c>
    </row>
    <row r="24" spans="1:23" ht="12.75">
      <c r="A24" s="1" t="s">
        <v>136</v>
      </c>
      <c r="B24" s="9">
        <v>14063286</v>
      </c>
      <c r="C24" s="9">
        <v>359472</v>
      </c>
      <c r="D24" s="9">
        <v>1035681</v>
      </c>
      <c r="E24" s="9">
        <v>26473</v>
      </c>
      <c r="F24" s="9">
        <v>6098799</v>
      </c>
      <c r="G24" s="9">
        <v>155891</v>
      </c>
      <c r="H24" s="9">
        <f t="shared" si="7"/>
        <v>7134480</v>
      </c>
      <c r="I24" s="9">
        <f t="shared" si="8"/>
        <v>182364</v>
      </c>
      <c r="J24" s="9">
        <v>1889403</v>
      </c>
      <c r="K24" s="9">
        <v>48295</v>
      </c>
      <c r="L24" s="9">
        <f t="shared" si="0"/>
        <v>7988202</v>
      </c>
      <c r="M24" s="9">
        <f t="shared" si="1"/>
        <v>204186</v>
      </c>
      <c r="N24" s="5">
        <f t="shared" si="2"/>
        <v>35947.2</v>
      </c>
      <c r="O24" s="12">
        <f t="shared" si="9"/>
        <v>0.9263558775092358</v>
      </c>
      <c r="P24" s="5">
        <f t="shared" si="10"/>
        <v>2647.3</v>
      </c>
      <c r="Q24" s="12">
        <f t="shared" si="11"/>
        <v>0.14516571253098198</v>
      </c>
      <c r="R24" s="5">
        <f t="shared" si="3"/>
        <v>15589.1</v>
      </c>
      <c r="S24" s="12">
        <f t="shared" si="12"/>
        <v>0.8548342874690179</v>
      </c>
      <c r="T24" s="5">
        <f t="shared" si="13"/>
        <v>18236.4</v>
      </c>
      <c r="U24" s="5">
        <f t="shared" si="4"/>
        <v>4829.5</v>
      </c>
      <c r="V24" s="12">
        <f t="shared" si="5"/>
        <v>0.23652454134955386</v>
      </c>
      <c r="W24" s="5">
        <f t="shared" si="6"/>
        <v>20418.6</v>
      </c>
    </row>
    <row r="25" spans="1:23" ht="12.75">
      <c r="A25" s="1" t="s">
        <v>142</v>
      </c>
      <c r="B25" s="9">
        <v>12454339</v>
      </c>
      <c r="C25" s="9">
        <v>308980</v>
      </c>
      <c r="D25" s="9">
        <v>1427272</v>
      </c>
      <c r="E25" s="9">
        <v>35409</v>
      </c>
      <c r="F25" s="9">
        <v>8510710</v>
      </c>
      <c r="G25" s="9">
        <v>211142</v>
      </c>
      <c r="H25" s="9">
        <f t="shared" si="7"/>
        <v>9937982</v>
      </c>
      <c r="I25" s="9">
        <f t="shared" si="8"/>
        <v>246551</v>
      </c>
      <c r="J25" s="9">
        <v>1510826</v>
      </c>
      <c r="K25" s="9">
        <v>37482</v>
      </c>
      <c r="L25" s="9">
        <f t="shared" si="0"/>
        <v>10021536</v>
      </c>
      <c r="M25" s="9">
        <f t="shared" si="1"/>
        <v>248624</v>
      </c>
      <c r="N25" s="5">
        <f t="shared" si="2"/>
        <v>30898</v>
      </c>
      <c r="O25" s="12">
        <f t="shared" si="9"/>
        <v>0.8854003495371868</v>
      </c>
      <c r="P25" s="5">
        <f t="shared" si="10"/>
        <v>3540.9</v>
      </c>
      <c r="Q25" s="12">
        <f t="shared" si="11"/>
        <v>0.1436173448901039</v>
      </c>
      <c r="R25" s="5">
        <f t="shared" si="3"/>
        <v>21114.2</v>
      </c>
      <c r="S25" s="12">
        <f t="shared" si="12"/>
        <v>0.8563826551098962</v>
      </c>
      <c r="T25" s="5">
        <f t="shared" si="13"/>
        <v>24655.1</v>
      </c>
      <c r="U25" s="5">
        <f t="shared" si="4"/>
        <v>3748.2</v>
      </c>
      <c r="V25" s="12">
        <f t="shared" si="5"/>
        <v>0.15075777077031982</v>
      </c>
      <c r="W25" s="5">
        <f t="shared" si="6"/>
        <v>24862.4</v>
      </c>
    </row>
    <row r="26" spans="1:23" ht="12.75">
      <c r="A26" s="1" t="s">
        <v>148</v>
      </c>
      <c r="B26" s="9">
        <v>13394174</v>
      </c>
      <c r="C26" s="9">
        <v>322296</v>
      </c>
      <c r="D26" s="9">
        <v>545000</v>
      </c>
      <c r="E26" s="9">
        <v>13522</v>
      </c>
      <c r="F26" s="9">
        <v>6436368</v>
      </c>
      <c r="G26" s="9">
        <v>159680</v>
      </c>
      <c r="H26" s="9">
        <f t="shared" si="7"/>
        <v>6981368</v>
      </c>
      <c r="I26" s="9">
        <f t="shared" si="8"/>
        <v>173202</v>
      </c>
      <c r="J26" s="9">
        <v>1761649</v>
      </c>
      <c r="K26" s="9">
        <v>43705</v>
      </c>
      <c r="L26" s="9">
        <f t="shared" si="0"/>
        <v>8198017</v>
      </c>
      <c r="M26" s="9">
        <f t="shared" si="1"/>
        <v>203385</v>
      </c>
      <c r="N26" s="5">
        <f t="shared" si="2"/>
        <v>32229.6</v>
      </c>
      <c r="O26" s="12">
        <f t="shared" si="9"/>
        <v>0.9580447787127361</v>
      </c>
      <c r="P26" s="5">
        <f t="shared" si="10"/>
        <v>1352.2</v>
      </c>
      <c r="Q26" s="12">
        <f t="shared" si="11"/>
        <v>0.07807069202434153</v>
      </c>
      <c r="R26" s="5">
        <f t="shared" si="3"/>
        <v>15968</v>
      </c>
      <c r="S26" s="12">
        <f t="shared" si="12"/>
        <v>0.9219293079756584</v>
      </c>
      <c r="T26" s="5">
        <f t="shared" si="13"/>
        <v>17320.2</v>
      </c>
      <c r="U26" s="5">
        <f t="shared" si="4"/>
        <v>4370.5</v>
      </c>
      <c r="V26" s="12">
        <f t="shared" si="5"/>
        <v>0.21488802025714776</v>
      </c>
      <c r="W26" s="5">
        <f t="shared" si="6"/>
        <v>20338.5</v>
      </c>
    </row>
    <row r="27" spans="1:23" ht="12.75">
      <c r="A27" s="1" t="s">
        <v>154</v>
      </c>
      <c r="B27" s="9"/>
      <c r="F27" s="9">
        <v>16123480</v>
      </c>
      <c r="G27" s="9">
        <v>400007</v>
      </c>
      <c r="J27" s="9">
        <v>2106972</v>
      </c>
      <c r="K27" s="9">
        <v>52272</v>
      </c>
      <c r="L27" s="9">
        <f t="shared" si="0"/>
        <v>18230452</v>
      </c>
      <c r="M27" s="9">
        <f t="shared" si="1"/>
        <v>452279</v>
      </c>
      <c r="R27" s="5">
        <f t="shared" si="3"/>
        <v>40000.7</v>
      </c>
      <c r="U27" s="5">
        <f t="shared" si="4"/>
        <v>5227.2</v>
      </c>
      <c r="V27" s="12">
        <f t="shared" si="5"/>
        <v>0.11557467846174595</v>
      </c>
      <c r="W27" s="5">
        <f t="shared" si="6"/>
        <v>45227.9</v>
      </c>
    </row>
    <row r="28" spans="1:23" ht="12.75">
      <c r="A28" s="1" t="s">
        <v>159</v>
      </c>
      <c r="B28" s="9"/>
      <c r="F28" s="9">
        <v>7482801</v>
      </c>
      <c r="G28" s="9">
        <v>185641</v>
      </c>
      <c r="J28" s="9">
        <v>1948564</v>
      </c>
      <c r="K28" s="9">
        <v>48342</v>
      </c>
      <c r="L28" s="9">
        <f t="shared" si="0"/>
        <v>9431365</v>
      </c>
      <c r="M28" s="9">
        <f t="shared" si="1"/>
        <v>233983</v>
      </c>
      <c r="R28" s="5">
        <f t="shared" si="3"/>
        <v>18564.1</v>
      </c>
      <c r="U28" s="5">
        <f t="shared" si="4"/>
        <v>4834.2</v>
      </c>
      <c r="V28" s="12">
        <f t="shared" si="5"/>
        <v>0.20660475333678088</v>
      </c>
      <c r="W28" s="5">
        <f t="shared" si="6"/>
        <v>23398.3</v>
      </c>
    </row>
    <row r="29" spans="1:23" ht="12.75">
      <c r="A29" s="1" t="s">
        <v>164</v>
      </c>
      <c r="B29" s="9"/>
      <c r="F29" s="9">
        <v>15787230</v>
      </c>
      <c r="G29" s="9">
        <v>385729</v>
      </c>
      <c r="J29" s="9">
        <v>2900749</v>
      </c>
      <c r="K29" s="9">
        <v>70874</v>
      </c>
      <c r="L29" s="9">
        <f t="shared" si="0"/>
        <v>18687979</v>
      </c>
      <c r="M29" s="9">
        <f t="shared" si="1"/>
        <v>456603</v>
      </c>
      <c r="R29" s="5">
        <f t="shared" si="3"/>
        <v>38572.9</v>
      </c>
      <c r="U29" s="5">
        <f t="shared" si="4"/>
        <v>7087.4</v>
      </c>
      <c r="V29" s="12">
        <f t="shared" si="5"/>
        <v>0.15522018033171045</v>
      </c>
      <c r="W29" s="5">
        <f t="shared" si="6"/>
        <v>45660.3</v>
      </c>
    </row>
    <row r="30" spans="1:23" ht="12.75">
      <c r="A30" s="1" t="s">
        <v>170</v>
      </c>
      <c r="B30" s="9"/>
      <c r="F30" s="9">
        <v>29593184</v>
      </c>
      <c r="G30" s="9">
        <v>723050</v>
      </c>
      <c r="J30" s="9">
        <v>2239929</v>
      </c>
      <c r="K30" s="9">
        <v>54728</v>
      </c>
      <c r="L30" s="9">
        <f t="shared" si="0"/>
        <v>31833113</v>
      </c>
      <c r="M30" s="9">
        <f t="shared" si="1"/>
        <v>777778</v>
      </c>
      <c r="R30" s="5">
        <f t="shared" si="3"/>
        <v>72305</v>
      </c>
      <c r="U30" s="5">
        <f t="shared" si="4"/>
        <v>5472.8</v>
      </c>
      <c r="V30" s="12">
        <f t="shared" si="5"/>
        <v>0.07036455132441391</v>
      </c>
      <c r="W30" s="5">
        <f t="shared" si="6"/>
        <v>77777.8</v>
      </c>
    </row>
    <row r="31" spans="1:23" ht="12.75">
      <c r="A31" s="1" t="s">
        <v>176</v>
      </c>
      <c r="B31" s="9"/>
      <c r="F31" s="9">
        <v>39845843</v>
      </c>
      <c r="G31" s="9">
        <v>966062</v>
      </c>
      <c r="J31" s="9">
        <v>4936031</v>
      </c>
      <c r="K31" s="9">
        <v>119674</v>
      </c>
      <c r="L31" s="9">
        <f t="shared" si="0"/>
        <v>44781874</v>
      </c>
      <c r="M31" s="9">
        <f t="shared" si="1"/>
        <v>1085736</v>
      </c>
      <c r="R31" s="5">
        <f t="shared" si="3"/>
        <v>96606.2</v>
      </c>
      <c r="U31" s="5">
        <f t="shared" si="4"/>
        <v>11967.4</v>
      </c>
      <c r="V31" s="12">
        <f t="shared" si="5"/>
        <v>0.11022384815461585</v>
      </c>
      <c r="W31" s="5">
        <f t="shared" si="6"/>
        <v>108573.6</v>
      </c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45" ht="12.75">
      <c r="M45" s="9">
        <f>G45+K45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9"/>
  </sheetPr>
  <dimension ref="A1:I40"/>
  <sheetViews>
    <sheetView zoomScale="90" zoomScaleNormal="90" zoomScalePageLayoutView="0" workbookViewId="0" topLeftCell="A1">
      <pane ySplit="8" topLeftCell="A15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2" max="2" width="14.8515625" style="24" customWidth="1"/>
    <col min="3" max="3" width="14.8515625" style="2" customWidth="1"/>
    <col min="4" max="4" width="14.8515625" style="24" customWidth="1"/>
    <col min="5" max="5" width="13.8515625" style="2" customWidth="1"/>
    <col min="6" max="6" width="13.28125" style="2" customWidth="1"/>
    <col min="7" max="7" width="14.28125" style="2" customWidth="1"/>
    <col min="8" max="8" width="15.8515625" style="24" customWidth="1"/>
    <col min="9" max="9" width="16.28125" style="2" customWidth="1"/>
  </cols>
  <sheetData>
    <row r="1" spans="1:9" ht="12.75">
      <c r="A1" s="11" t="s">
        <v>534</v>
      </c>
      <c r="B1" s="1" t="s">
        <v>445</v>
      </c>
      <c r="D1" s="1"/>
      <c r="E1" s="1"/>
      <c r="F1" s="5"/>
      <c r="G1" s="5"/>
      <c r="H1" s="17"/>
      <c r="I1" s="19"/>
    </row>
    <row r="2" spans="1:9" ht="12.75">
      <c r="A2" s="11"/>
      <c r="B2" s="1" t="s">
        <v>207</v>
      </c>
      <c r="D2" s="1"/>
      <c r="E2" s="1"/>
      <c r="F2" s="5"/>
      <c r="G2" s="5"/>
      <c r="H2" s="17"/>
      <c r="I2" s="19"/>
    </row>
    <row r="3" spans="1:9" ht="12.75">
      <c r="A3" s="11"/>
      <c r="B3" s="1" t="s">
        <v>344</v>
      </c>
      <c r="D3" s="1"/>
      <c r="E3" s="1"/>
      <c r="F3" s="5"/>
      <c r="G3" s="5"/>
      <c r="H3" s="17"/>
      <c r="I3" s="19"/>
    </row>
    <row r="4" spans="1:9" ht="12.75">
      <c r="A4" s="11"/>
      <c r="C4" s="1"/>
      <c r="D4" s="1"/>
      <c r="E4" s="4"/>
      <c r="F4" s="5"/>
      <c r="G4" s="5"/>
      <c r="H4" s="17"/>
      <c r="I4" s="19"/>
    </row>
    <row r="5" spans="1:9" ht="12.75">
      <c r="A5" s="11" t="s">
        <v>303</v>
      </c>
      <c r="B5" s="1" t="s">
        <v>487</v>
      </c>
      <c r="C5" s="1" t="s">
        <v>581</v>
      </c>
      <c r="D5" s="1" t="s">
        <v>525</v>
      </c>
      <c r="E5" s="4" t="s">
        <v>557</v>
      </c>
      <c r="F5" s="4" t="s">
        <v>429</v>
      </c>
      <c r="G5" s="4" t="s">
        <v>429</v>
      </c>
      <c r="H5" s="18" t="s">
        <v>347</v>
      </c>
      <c r="I5" s="20" t="s">
        <v>346</v>
      </c>
    </row>
    <row r="6" spans="1:9" ht="12.75">
      <c r="A6" s="11" t="s">
        <v>575</v>
      </c>
      <c r="B6" s="1" t="s">
        <v>519</v>
      </c>
      <c r="C6" s="1" t="s">
        <v>519</v>
      </c>
      <c r="D6" s="1" t="s">
        <v>519</v>
      </c>
      <c r="E6" s="4" t="s">
        <v>518</v>
      </c>
      <c r="F6" s="4" t="s">
        <v>312</v>
      </c>
      <c r="G6" s="4" t="s">
        <v>516</v>
      </c>
      <c r="H6" s="18" t="s">
        <v>324</v>
      </c>
      <c r="I6" s="20" t="s">
        <v>444</v>
      </c>
    </row>
    <row r="7" spans="1:9" ht="12.75">
      <c r="A7" s="11" t="s">
        <v>473</v>
      </c>
      <c r="B7" s="1" t="s">
        <v>331</v>
      </c>
      <c r="C7" s="1" t="s">
        <v>331</v>
      </c>
      <c r="D7" s="1" t="s">
        <v>331</v>
      </c>
      <c r="E7" s="4" t="s">
        <v>467</v>
      </c>
      <c r="F7" s="4" t="s">
        <v>329</v>
      </c>
      <c r="G7" s="4" t="s">
        <v>329</v>
      </c>
      <c r="H7" s="18" t="s">
        <v>81</v>
      </c>
      <c r="I7" s="20" t="s">
        <v>81</v>
      </c>
    </row>
    <row r="8" spans="1:9" ht="12.75">
      <c r="A8" s="11"/>
      <c r="C8" s="1"/>
      <c r="D8" s="1"/>
      <c r="E8" s="4"/>
      <c r="F8" s="5"/>
      <c r="G8" s="5"/>
      <c r="H8" s="17"/>
      <c r="I8" s="19"/>
    </row>
    <row r="9" spans="1:9" ht="12.75">
      <c r="A9" s="11" t="s">
        <v>36</v>
      </c>
      <c r="C9" s="1"/>
      <c r="D9" s="1"/>
      <c r="E9" s="4"/>
      <c r="F9" s="5">
        <v>517.2433472698118</v>
      </c>
      <c r="G9" s="5">
        <v>0</v>
      </c>
      <c r="H9" s="17">
        <f aca="true" t="shared" si="0" ref="H9:H40">G9/(($G$27+$G$28)/2)*100</f>
        <v>0</v>
      </c>
      <c r="I9" s="19"/>
    </row>
    <row r="10" spans="1:9" ht="12.75">
      <c r="A10" s="11" t="s">
        <v>40</v>
      </c>
      <c r="C10" s="1"/>
      <c r="D10" s="1"/>
      <c r="E10" s="4"/>
      <c r="F10" s="5">
        <v>682.6899916381129</v>
      </c>
      <c r="G10" s="5">
        <v>0</v>
      </c>
      <c r="H10" s="17">
        <f t="shared" si="0"/>
        <v>0</v>
      </c>
      <c r="I10" s="19"/>
    </row>
    <row r="11" spans="1:9" ht="12.75">
      <c r="A11" s="11" t="s">
        <v>43</v>
      </c>
      <c r="C11" s="1"/>
      <c r="D11" s="1"/>
      <c r="E11" s="4"/>
      <c r="F11" s="5">
        <v>999.9464723947458</v>
      </c>
      <c r="G11" s="5">
        <v>0</v>
      </c>
      <c r="H11" s="17">
        <f t="shared" si="0"/>
        <v>0</v>
      </c>
      <c r="I11" s="19"/>
    </row>
    <row r="12" spans="1:9" ht="12.75">
      <c r="A12" s="11" t="s">
        <v>46</v>
      </c>
      <c r="C12" s="1"/>
      <c r="D12" s="1"/>
      <c r="E12" s="4"/>
      <c r="F12" s="5">
        <v>830.6975276052541</v>
      </c>
      <c r="G12" s="5">
        <v>0</v>
      </c>
      <c r="H12" s="17">
        <f t="shared" si="0"/>
        <v>0</v>
      </c>
      <c r="I12" s="19"/>
    </row>
    <row r="13" spans="1:9" ht="12.75">
      <c r="A13" s="11" t="s">
        <v>50</v>
      </c>
      <c r="C13" s="1"/>
      <c r="D13" s="1"/>
      <c r="E13" s="4"/>
      <c r="F13" s="5">
        <v>111.8812762502697</v>
      </c>
      <c r="G13" s="5">
        <v>3.4037510657876</v>
      </c>
      <c r="H13" s="17">
        <f t="shared" si="0"/>
        <v>0.0012570976944526375</v>
      </c>
      <c r="I13" s="19"/>
    </row>
    <row r="14" spans="1:9" ht="12.75">
      <c r="A14" s="11" t="s">
        <v>53</v>
      </c>
      <c r="C14" s="1"/>
      <c r="D14" s="1"/>
      <c r="E14" s="4"/>
      <c r="F14" s="5">
        <v>865.9287237497304</v>
      </c>
      <c r="G14" s="5">
        <v>26.344048934212402</v>
      </c>
      <c r="H14" s="17">
        <f t="shared" si="0"/>
        <v>0.009729572620811758</v>
      </c>
      <c r="I14" s="19"/>
    </row>
    <row r="15" spans="1:9" ht="12.75">
      <c r="A15" s="11" t="s">
        <v>56</v>
      </c>
      <c r="C15" s="1"/>
      <c r="D15" s="1"/>
      <c r="E15" s="4"/>
      <c r="F15" s="5">
        <v>854.4133953085857</v>
      </c>
      <c r="G15" s="5">
        <v>5090.79009840535</v>
      </c>
      <c r="H15" s="17">
        <f t="shared" si="0"/>
        <v>1.8801670192549353</v>
      </c>
      <c r="I15" s="19"/>
    </row>
    <row r="16" spans="1:9" ht="12.75">
      <c r="A16" s="11" t="s">
        <v>60</v>
      </c>
      <c r="C16" s="1"/>
      <c r="D16" s="1"/>
      <c r="E16" s="4"/>
      <c r="F16" s="5">
        <v>2038.8586046914145</v>
      </c>
      <c r="G16" s="5">
        <v>12147.98510159465</v>
      </c>
      <c r="H16" s="17">
        <f t="shared" si="0"/>
        <v>4.486580765836937</v>
      </c>
      <c r="I16" s="19"/>
    </row>
    <row r="17" spans="1:9" ht="12.75">
      <c r="A17" s="11" t="s">
        <v>63</v>
      </c>
      <c r="C17" s="1"/>
      <c r="D17" s="1"/>
      <c r="E17" s="4"/>
      <c r="F17" s="5">
        <v>2363.396785416903</v>
      </c>
      <c r="G17" s="5">
        <v>16815.869652235993</v>
      </c>
      <c r="H17" s="17">
        <f t="shared" si="0"/>
        <v>6.210557282675579</v>
      </c>
      <c r="I17" s="19"/>
    </row>
    <row r="18" spans="1:9" ht="12.75">
      <c r="A18" s="11" t="s">
        <v>66</v>
      </c>
      <c r="C18" s="1"/>
      <c r="D18" s="1"/>
      <c r="E18" s="4"/>
      <c r="F18" s="5">
        <v>2628.0292145830967</v>
      </c>
      <c r="G18" s="5">
        <v>18698.763147764002</v>
      </c>
      <c r="H18" s="17">
        <f t="shared" si="0"/>
        <v>6.905960978885785</v>
      </c>
      <c r="I18" s="19"/>
    </row>
    <row r="19" spans="1:9" ht="12.75">
      <c r="A19" s="11" t="s">
        <v>67</v>
      </c>
      <c r="B19" s="5">
        <v>64848.88221999999</v>
      </c>
      <c r="C19" s="1"/>
      <c r="D19" s="1"/>
      <c r="E19" s="5">
        <f aca="true" t="shared" si="1" ref="E19:E40">B19+C19+D19</f>
        <v>64848.88221999999</v>
      </c>
      <c r="F19" s="5">
        <v>4707.313679461639</v>
      </c>
      <c r="G19" s="5">
        <v>33479.20625453241</v>
      </c>
      <c r="H19" s="17">
        <f t="shared" si="0"/>
        <v>12.364779968108069</v>
      </c>
      <c r="I19" s="17">
        <f aca="true" t="shared" si="2" ref="I19:I40">E19/(($E$27+$E$28)/2)*100</f>
        <v>31.393579722909738</v>
      </c>
    </row>
    <row r="20" spans="1:9" ht="12.75">
      <c r="A20" s="11" t="s">
        <v>69</v>
      </c>
      <c r="B20" s="5">
        <v>54335.742999999995</v>
      </c>
      <c r="C20" s="5">
        <v>21294.67845</v>
      </c>
      <c r="D20" s="1"/>
      <c r="E20" s="5">
        <f t="shared" si="1"/>
        <v>75630.42145</v>
      </c>
      <c r="F20" s="5">
        <v>3816.7023205383607</v>
      </c>
      <c r="G20" s="5">
        <v>27145.028545467583</v>
      </c>
      <c r="H20" s="17">
        <f t="shared" si="0"/>
        <v>10.025396141142986</v>
      </c>
      <c r="I20" s="17">
        <f t="shared" si="2"/>
        <v>36.61296207408766</v>
      </c>
    </row>
    <row r="21" spans="1:9" ht="12.75">
      <c r="A21" s="11" t="s">
        <v>70</v>
      </c>
      <c r="B21" s="5">
        <v>56080.3771</v>
      </c>
      <c r="C21" s="5">
        <v>27761.39652</v>
      </c>
      <c r="D21" s="1"/>
      <c r="E21" s="5">
        <f t="shared" si="1"/>
        <v>83841.77361999999</v>
      </c>
      <c r="F21" s="5">
        <v>1019.6432904987707</v>
      </c>
      <c r="G21" s="5">
        <v>83373.91757745473</v>
      </c>
      <c r="H21" s="17">
        <f t="shared" si="0"/>
        <v>30.792251706530305</v>
      </c>
      <c r="I21" s="17">
        <f t="shared" si="2"/>
        <v>40.58810752235076</v>
      </c>
    </row>
    <row r="22" spans="1:9" ht="12.75">
      <c r="A22" s="11" t="s">
        <v>72</v>
      </c>
      <c r="B22" s="5">
        <v>51717.86156</v>
      </c>
      <c r="C22" s="5">
        <v>31498.076479999996</v>
      </c>
      <c r="D22" s="1"/>
      <c r="E22" s="5">
        <f t="shared" si="1"/>
        <v>83215.93804</v>
      </c>
      <c r="F22" s="5">
        <v>1286.5447095012294</v>
      </c>
      <c r="G22" s="5">
        <v>105197.84082254527</v>
      </c>
      <c r="H22" s="17">
        <f t="shared" si="0"/>
        <v>38.85241917032409</v>
      </c>
      <c r="I22" s="17">
        <f t="shared" si="2"/>
        <v>40.285138242055226</v>
      </c>
    </row>
    <row r="23" spans="1:9" ht="12.75">
      <c r="A23" s="11" t="s">
        <v>73</v>
      </c>
      <c r="B23" s="5">
        <v>36439.0055</v>
      </c>
      <c r="C23" s="5">
        <v>35925.21314</v>
      </c>
      <c r="D23" s="1"/>
      <c r="E23" s="5">
        <f t="shared" si="1"/>
        <v>72364.21864</v>
      </c>
      <c r="F23" s="5">
        <v>770.0594383894946</v>
      </c>
      <c r="G23" s="5">
        <v>91353.21905118042</v>
      </c>
      <c r="H23" s="17">
        <f t="shared" si="0"/>
        <v>33.739224411669085</v>
      </c>
      <c r="I23" s="17">
        <f t="shared" si="2"/>
        <v>35.03178141535145</v>
      </c>
    </row>
    <row r="24" spans="1:9" ht="12.75">
      <c r="A24" s="11" t="s">
        <v>75</v>
      </c>
      <c r="B24" s="5">
        <v>111607.52661999999</v>
      </c>
      <c r="C24" s="5">
        <v>30389.37501</v>
      </c>
      <c r="D24" s="1"/>
      <c r="E24" s="5">
        <f t="shared" si="1"/>
        <v>141996.90162999998</v>
      </c>
      <c r="F24" s="5">
        <v>1115.768561610505</v>
      </c>
      <c r="G24" s="5">
        <v>132365.17174881956</v>
      </c>
      <c r="H24" s="17">
        <f t="shared" si="0"/>
        <v>48.88605218630047</v>
      </c>
      <c r="I24" s="17">
        <f t="shared" si="2"/>
        <v>68.741216488582</v>
      </c>
    </row>
    <row r="25" spans="1:9" ht="12.75">
      <c r="A25" s="11" t="s">
        <v>76</v>
      </c>
      <c r="B25" s="5">
        <v>168398.46375999998</v>
      </c>
      <c r="C25" s="5">
        <v>27613.049299999995</v>
      </c>
      <c r="D25" s="1"/>
      <c r="E25" s="5">
        <f t="shared" si="1"/>
        <v>196011.51305999997</v>
      </c>
      <c r="F25" s="5">
        <v>1336.2138558855027</v>
      </c>
      <c r="G25" s="5">
        <v>232207.5698233437</v>
      </c>
      <c r="H25" s="17">
        <f t="shared" si="0"/>
        <v>85.7605609274573</v>
      </c>
      <c r="I25" s="17">
        <f t="shared" si="2"/>
        <v>94.88988632034547</v>
      </c>
    </row>
    <row r="26" spans="1:9" ht="12.75">
      <c r="A26" s="11" t="s">
        <v>78</v>
      </c>
      <c r="B26" s="5">
        <v>176839.5068</v>
      </c>
      <c r="C26" s="5">
        <v>28413.39977637394</v>
      </c>
      <c r="D26" s="1"/>
      <c r="E26" s="5">
        <f t="shared" si="1"/>
        <v>205252.90657637393</v>
      </c>
      <c r="F26" s="5">
        <v>1084.1161441144973</v>
      </c>
      <c r="G26" s="5">
        <v>188397.96797665622</v>
      </c>
      <c r="H26" s="17">
        <f t="shared" si="0"/>
        <v>69.58048535438792</v>
      </c>
      <c r="I26" s="17">
        <f t="shared" si="2"/>
        <v>99.36367853040751</v>
      </c>
    </row>
    <row r="27" spans="1:9" ht="12.75">
      <c r="A27" s="11" t="s">
        <v>82</v>
      </c>
      <c r="B27" s="5">
        <v>192454.49252</v>
      </c>
      <c r="C27" s="5">
        <v>27002.86982</v>
      </c>
      <c r="D27" s="1"/>
      <c r="E27" s="5">
        <f t="shared" si="1"/>
        <v>219457.36234</v>
      </c>
      <c r="F27" s="5">
        <v>1966.2763257960974</v>
      </c>
      <c r="G27" s="5">
        <v>273704.53885134787</v>
      </c>
      <c r="H27" s="17">
        <f t="shared" si="0"/>
        <v>101.08651840308305</v>
      </c>
      <c r="I27" s="17">
        <f t="shared" si="2"/>
        <v>106.24010722386016</v>
      </c>
    </row>
    <row r="28" spans="1:9" ht="12.75">
      <c r="A28" s="11" t="s">
        <v>83</v>
      </c>
      <c r="B28" s="5">
        <v>169671.91732</v>
      </c>
      <c r="C28" s="5">
        <v>24005.39814595887</v>
      </c>
      <c r="D28" s="1"/>
      <c r="E28" s="5">
        <f t="shared" si="1"/>
        <v>193677.31546595888</v>
      </c>
      <c r="F28" s="5">
        <v>1924.0076742039023</v>
      </c>
      <c r="G28" s="5">
        <v>267820.7667486522</v>
      </c>
      <c r="H28" s="17">
        <f t="shared" si="0"/>
        <v>98.91348159691697</v>
      </c>
      <c r="I28" s="17">
        <f t="shared" si="2"/>
        <v>93.75989277613982</v>
      </c>
    </row>
    <row r="29" spans="1:9" ht="12.75">
      <c r="A29" s="11" t="s">
        <v>86</v>
      </c>
      <c r="B29" s="5">
        <v>183470.02397999997</v>
      </c>
      <c r="C29" s="5">
        <v>29736.3795</v>
      </c>
      <c r="D29" s="1"/>
      <c r="E29" s="5">
        <f t="shared" si="1"/>
        <v>213206.40347999998</v>
      </c>
      <c r="F29" s="5">
        <v>1028.8137715549065</v>
      </c>
      <c r="G29" s="5">
        <v>193590.35080488445</v>
      </c>
      <c r="H29" s="17">
        <f t="shared" si="0"/>
        <v>71.49817332742738</v>
      </c>
      <c r="I29" s="17">
        <f t="shared" si="2"/>
        <v>103.21399530645974</v>
      </c>
    </row>
    <row r="30" spans="1:9" ht="12.75">
      <c r="A30" s="11" t="s">
        <v>88</v>
      </c>
      <c r="B30" s="5">
        <v>158273.45967999997</v>
      </c>
      <c r="C30" s="5">
        <v>34121.26738</v>
      </c>
      <c r="D30" s="1"/>
      <c r="E30" s="5">
        <f t="shared" si="1"/>
        <v>192394.72705999998</v>
      </c>
      <c r="F30" s="5">
        <v>1324.0042284450935</v>
      </c>
      <c r="G30" s="5">
        <v>249135.89819511556</v>
      </c>
      <c r="H30" s="17">
        <f t="shared" si="0"/>
        <v>92.01265226897478</v>
      </c>
      <c r="I30" s="17">
        <f t="shared" si="2"/>
        <v>93.13898706434125</v>
      </c>
    </row>
    <row r="31" spans="1:9" ht="12.75">
      <c r="A31" s="11" t="s">
        <v>89</v>
      </c>
      <c r="B31" s="5">
        <v>161108.66593999998</v>
      </c>
      <c r="C31" s="5">
        <v>47517.24326819384</v>
      </c>
      <c r="D31" s="1"/>
      <c r="E31" s="5">
        <f t="shared" si="1"/>
        <v>208625.90920819383</v>
      </c>
      <c r="F31" s="5">
        <v>795.0851234487526</v>
      </c>
      <c r="G31" s="5">
        <v>196820.45348383937</v>
      </c>
      <c r="H31" s="17">
        <f t="shared" si="0"/>
        <v>72.69113795735397</v>
      </c>
      <c r="I31" s="17">
        <f t="shared" si="2"/>
        <v>100.99656137129271</v>
      </c>
    </row>
    <row r="32" spans="1:9" ht="12.75">
      <c r="A32" s="11" t="s">
        <v>91</v>
      </c>
      <c r="B32" s="5">
        <v>139403.77498</v>
      </c>
      <c r="C32" s="5">
        <v>48213.16416</v>
      </c>
      <c r="D32" s="1"/>
      <c r="E32" s="5">
        <f t="shared" si="1"/>
        <v>187616.93913999997</v>
      </c>
      <c r="F32" s="5">
        <v>976.1028765512476</v>
      </c>
      <c r="G32" s="5">
        <v>241630.74511616057</v>
      </c>
      <c r="H32" s="17">
        <f t="shared" si="0"/>
        <v>89.24079544110617</v>
      </c>
      <c r="I32" s="17">
        <f t="shared" si="2"/>
        <v>90.82604255657274</v>
      </c>
    </row>
    <row r="33" spans="1:9" ht="12.75">
      <c r="A33" s="11" t="s">
        <v>93</v>
      </c>
      <c r="B33" s="5">
        <v>134795.29984</v>
      </c>
      <c r="C33" s="5">
        <v>55609.74112</v>
      </c>
      <c r="D33" s="1"/>
      <c r="E33" s="5">
        <f t="shared" si="1"/>
        <v>190405.04095999998</v>
      </c>
      <c r="F33" s="5">
        <v>404.36694823838377</v>
      </c>
      <c r="G33" s="5">
        <v>223022.5519709609</v>
      </c>
      <c r="H33" s="17">
        <f t="shared" si="0"/>
        <v>82.3682844235159</v>
      </c>
      <c r="I33" s="17">
        <f t="shared" si="2"/>
        <v>92.17577278730856</v>
      </c>
    </row>
    <row r="34" spans="1:9" ht="12.75">
      <c r="A34" s="11" t="s">
        <v>95</v>
      </c>
      <c r="B34" s="5">
        <v>130628.28133999999</v>
      </c>
      <c r="C34" s="5">
        <v>47861.74144</v>
      </c>
      <c r="D34" s="1"/>
      <c r="E34" s="5">
        <f t="shared" si="1"/>
        <v>178490.02278</v>
      </c>
      <c r="F34" s="5">
        <v>373.5850517616163</v>
      </c>
      <c r="G34" s="5">
        <v>206045.25662903916</v>
      </c>
      <c r="H34" s="17">
        <f t="shared" si="0"/>
        <v>76.09810825026719</v>
      </c>
      <c r="I34" s="17">
        <f t="shared" si="2"/>
        <v>86.40766915423798</v>
      </c>
    </row>
    <row r="35" spans="1:9" ht="12.75">
      <c r="A35" s="11" t="s">
        <v>96</v>
      </c>
      <c r="B35" s="5">
        <v>124267.77516</v>
      </c>
      <c r="C35" s="5">
        <v>47934.530960000004</v>
      </c>
      <c r="D35" s="1"/>
      <c r="E35" s="5">
        <f t="shared" si="1"/>
        <v>172202.30612000002</v>
      </c>
      <c r="F35" s="5">
        <v>126.9948466916951</v>
      </c>
      <c r="G35" s="5">
        <v>143003.28160688834</v>
      </c>
      <c r="H35" s="17">
        <f t="shared" si="0"/>
        <v>52.814995025373136</v>
      </c>
      <c r="I35" s="17">
        <f t="shared" si="2"/>
        <v>83.36376265217804</v>
      </c>
    </row>
    <row r="36" spans="1:9" ht="12.75">
      <c r="A36" s="11" t="s">
        <v>98</v>
      </c>
      <c r="B36" s="5">
        <v>147647.32426</v>
      </c>
      <c r="C36" s="5">
        <v>31044.37810017094</v>
      </c>
      <c r="D36" s="1"/>
      <c r="E36" s="5">
        <f t="shared" si="1"/>
        <v>178691.70236017092</v>
      </c>
      <c r="F36" s="5">
        <v>121.08515330830491</v>
      </c>
      <c r="G36" s="5">
        <v>136348.63719311167</v>
      </c>
      <c r="H36" s="17">
        <f t="shared" si="0"/>
        <v>50.357254142367324</v>
      </c>
      <c r="I36" s="17">
        <f t="shared" si="2"/>
        <v>86.50530297246016</v>
      </c>
    </row>
    <row r="37" spans="1:9" ht="12.75">
      <c r="A37" s="11" t="s">
        <v>99</v>
      </c>
      <c r="B37" s="5">
        <v>113646.35926</v>
      </c>
      <c r="C37" s="5">
        <v>28101.06992444204</v>
      </c>
      <c r="D37" s="1"/>
      <c r="E37" s="5">
        <f t="shared" si="1"/>
        <v>141747.42918444204</v>
      </c>
      <c r="F37" s="5">
        <v>167.03380640634688</v>
      </c>
      <c r="G37" s="5">
        <v>113889.77949806959</v>
      </c>
      <c r="H37" s="17">
        <f t="shared" si="0"/>
        <v>42.0625881451216</v>
      </c>
      <c r="I37" s="17">
        <f t="shared" si="2"/>
        <v>68.6204459704145</v>
      </c>
    </row>
    <row r="38" spans="1:9" ht="12.75">
      <c r="A38" s="11" t="s">
        <v>101</v>
      </c>
      <c r="B38" s="5">
        <v>121192.59946</v>
      </c>
      <c r="C38" s="5">
        <v>30215.72069652989</v>
      </c>
      <c r="D38" s="1"/>
      <c r="E38" s="5">
        <f t="shared" si="1"/>
        <v>151408.3201565299</v>
      </c>
      <c r="F38" s="5">
        <v>142.84419359365313</v>
      </c>
      <c r="G38" s="5">
        <v>97396.41370193043</v>
      </c>
      <c r="H38" s="17">
        <f t="shared" si="0"/>
        <v>35.97114029381028</v>
      </c>
      <c r="I38" s="17">
        <f t="shared" si="2"/>
        <v>73.29731842440171</v>
      </c>
    </row>
    <row r="39" spans="1:9" ht="12.75">
      <c r="A39" s="11" t="s">
        <v>103</v>
      </c>
      <c r="B39" s="5">
        <v>99371.12728</v>
      </c>
      <c r="C39" s="5">
        <v>31046.27001198551</v>
      </c>
      <c r="D39" s="1"/>
      <c r="E39" s="5">
        <f t="shared" si="1"/>
        <v>130417.39729198552</v>
      </c>
      <c r="F39" s="5">
        <v>64.2693721457745</v>
      </c>
      <c r="G39" s="5">
        <v>60685.980680665074</v>
      </c>
      <c r="H39" s="17">
        <f t="shared" si="0"/>
        <v>22.412980539635583</v>
      </c>
      <c r="I39" s="17">
        <f t="shared" si="2"/>
        <v>63.13553632660194</v>
      </c>
    </row>
    <row r="40" spans="1:9" ht="12.75">
      <c r="A40" s="11" t="s">
        <v>105</v>
      </c>
      <c r="B40" s="5">
        <v>103710.81668</v>
      </c>
      <c r="C40" s="5">
        <v>26373.409937571058</v>
      </c>
      <c r="D40" s="1"/>
      <c r="E40" s="5">
        <f t="shared" si="1"/>
        <v>130084.22661757105</v>
      </c>
      <c r="F40" s="5">
        <v>29.616627854225516</v>
      </c>
      <c r="G40" s="5">
        <v>27965.328519334922</v>
      </c>
      <c r="H40" s="17">
        <f t="shared" si="0"/>
        <v>10.328355196014286</v>
      </c>
      <c r="I40" s="17">
        <f t="shared" si="2"/>
        <v>62.974247191454126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5"/>
  </sheetPr>
  <dimension ref="A1:J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4" width="14.7109375" style="0" customWidth="1"/>
    <col min="5" max="5" width="13.8515625" style="0" customWidth="1"/>
    <col min="6" max="6" width="17.421875" style="0" customWidth="1"/>
    <col min="7" max="7" width="13.421875" style="0" customWidth="1"/>
    <col min="8" max="8" width="14.421875" style="0" customWidth="1"/>
    <col min="9" max="10" width="16.00390625" style="0" customWidth="1"/>
  </cols>
  <sheetData>
    <row r="1" spans="1:10" ht="12.75">
      <c r="A1" s="11" t="s">
        <v>535</v>
      </c>
      <c r="C1" s="1" t="s">
        <v>445</v>
      </c>
      <c r="D1" s="1"/>
      <c r="E1" s="1"/>
      <c r="F1" s="5"/>
      <c r="G1" s="5"/>
      <c r="H1" s="5"/>
      <c r="I1" s="17"/>
      <c r="J1" s="19"/>
    </row>
    <row r="2" spans="1:10" ht="12.75">
      <c r="A2" s="11"/>
      <c r="C2" s="1" t="s">
        <v>207</v>
      </c>
      <c r="D2" s="1"/>
      <c r="E2" s="1"/>
      <c r="F2" s="5"/>
      <c r="G2" s="5"/>
      <c r="H2" s="5"/>
      <c r="I2" s="17"/>
      <c r="J2" s="19"/>
    </row>
    <row r="3" spans="1:10" ht="12.75">
      <c r="A3" s="11"/>
      <c r="C3" s="1" t="s">
        <v>344</v>
      </c>
      <c r="D3" s="1"/>
      <c r="E3" s="1"/>
      <c r="F3" s="5"/>
      <c r="G3" s="5"/>
      <c r="H3" s="5"/>
      <c r="I3" s="17"/>
      <c r="J3" s="19"/>
    </row>
    <row r="4" spans="1:10" ht="12.75">
      <c r="A4" s="11"/>
      <c r="B4" s="11"/>
      <c r="D4" s="1"/>
      <c r="E4" s="4"/>
      <c r="F4" s="5"/>
      <c r="G4" s="5"/>
      <c r="H4" s="5"/>
      <c r="I4" s="17"/>
      <c r="J4" s="19"/>
    </row>
    <row r="5" spans="1:10" ht="12.75">
      <c r="A5" s="11"/>
      <c r="B5" s="11"/>
      <c r="C5" s="1" t="s">
        <v>487</v>
      </c>
      <c r="D5" s="1" t="s">
        <v>581</v>
      </c>
      <c r="E5" s="4" t="s">
        <v>557</v>
      </c>
      <c r="F5" s="4" t="s">
        <v>431</v>
      </c>
      <c r="G5" s="4" t="s">
        <v>429</v>
      </c>
      <c r="H5" s="4" t="s">
        <v>429</v>
      </c>
      <c r="I5" s="18" t="s">
        <v>347</v>
      </c>
      <c r="J5" s="20" t="s">
        <v>346</v>
      </c>
    </row>
    <row r="6" spans="1:10" ht="12.75">
      <c r="A6" s="11" t="s">
        <v>575</v>
      </c>
      <c r="B6" s="11" t="s">
        <v>575</v>
      </c>
      <c r="C6" s="1" t="s">
        <v>519</v>
      </c>
      <c r="D6" s="1" t="s">
        <v>519</v>
      </c>
      <c r="E6" s="4" t="s">
        <v>518</v>
      </c>
      <c r="F6" s="4" t="s">
        <v>246</v>
      </c>
      <c r="G6" s="4" t="s">
        <v>312</v>
      </c>
      <c r="H6" s="4" t="s">
        <v>516</v>
      </c>
      <c r="I6" s="18" t="s">
        <v>324</v>
      </c>
      <c r="J6" s="20" t="s">
        <v>444</v>
      </c>
    </row>
    <row r="7" spans="1:10" ht="12.75">
      <c r="A7" s="11" t="s">
        <v>242</v>
      </c>
      <c r="B7" s="11" t="s">
        <v>276</v>
      </c>
      <c r="C7" s="1" t="s">
        <v>331</v>
      </c>
      <c r="D7" s="1" t="s">
        <v>331</v>
      </c>
      <c r="E7" s="4" t="s">
        <v>467</v>
      </c>
      <c r="F7" s="4" t="s">
        <v>325</v>
      </c>
      <c r="G7" s="4" t="s">
        <v>329</v>
      </c>
      <c r="H7" s="4" t="s">
        <v>329</v>
      </c>
      <c r="I7" s="1" t="s">
        <v>81</v>
      </c>
      <c r="J7" s="1" t="s">
        <v>81</v>
      </c>
    </row>
    <row r="8" spans="1:10" ht="12.75">
      <c r="A8" s="11"/>
      <c r="B8" s="11"/>
      <c r="D8" s="1"/>
      <c r="E8" s="4"/>
      <c r="F8" s="5"/>
      <c r="G8" s="5"/>
      <c r="H8" s="5"/>
      <c r="I8" s="17"/>
      <c r="J8" s="19"/>
    </row>
    <row r="9" spans="1:10" ht="12.75">
      <c r="A9" s="11">
        <v>1551</v>
      </c>
      <c r="B9" s="11">
        <v>1555</v>
      </c>
      <c r="C9" s="5">
        <v>64848.88221999999</v>
      </c>
      <c r="D9" s="1"/>
      <c r="E9" s="5">
        <f aca="true" t="shared" si="0" ref="E9:E30">C9+D9</f>
        <v>64848.88221999999</v>
      </c>
      <c r="F9" s="5">
        <v>1973106.2</v>
      </c>
      <c r="G9" s="5">
        <v>4707.313679461639</v>
      </c>
      <c r="H9" s="5">
        <v>33479.20625453241</v>
      </c>
      <c r="I9" s="17">
        <f aca="true" t="shared" si="1" ref="I9:I30">H9/(($H$17+$H$18)/2)*100</f>
        <v>12.364779968108069</v>
      </c>
      <c r="J9" s="17">
        <f aca="true" t="shared" si="2" ref="J9:J30">E9/(($E$17+$E$18)/2)*100</f>
        <v>31.393579722909738</v>
      </c>
    </row>
    <row r="10" spans="1:10" ht="12.75">
      <c r="A10" s="11">
        <v>1556</v>
      </c>
      <c r="B10" s="11">
        <v>1560</v>
      </c>
      <c r="C10" s="5">
        <v>54335.742999999995</v>
      </c>
      <c r="D10" s="5">
        <v>21294.67845</v>
      </c>
      <c r="E10" s="5">
        <f t="shared" si="0"/>
        <v>75630.42145</v>
      </c>
      <c r="F10" s="5">
        <v>1599799.7</v>
      </c>
      <c r="G10" s="5">
        <v>3816.7023205383607</v>
      </c>
      <c r="H10" s="5">
        <v>27145.028545467583</v>
      </c>
      <c r="I10" s="17">
        <f t="shared" si="1"/>
        <v>10.025396141142986</v>
      </c>
      <c r="J10" s="17">
        <f t="shared" si="2"/>
        <v>36.61296207408766</v>
      </c>
    </row>
    <row r="11" spans="1:10" ht="12.75">
      <c r="A11" s="11">
        <v>1561</v>
      </c>
      <c r="B11" s="11">
        <v>1565</v>
      </c>
      <c r="C11" s="5">
        <v>56080.3771</v>
      </c>
      <c r="D11" s="5">
        <v>27761.39652</v>
      </c>
      <c r="E11" s="5">
        <f t="shared" si="0"/>
        <v>83841.77361999999</v>
      </c>
      <c r="F11" s="5">
        <v>2241507.1</v>
      </c>
      <c r="G11" s="5">
        <v>1019.6432904987707</v>
      </c>
      <c r="H11" s="5">
        <v>83373.91757745473</v>
      </c>
      <c r="I11" s="17">
        <f t="shared" si="1"/>
        <v>30.792251706530305</v>
      </c>
      <c r="J11" s="17">
        <f t="shared" si="2"/>
        <v>40.58810752235076</v>
      </c>
    </row>
    <row r="12" spans="1:10" ht="12.75">
      <c r="A12" s="11">
        <v>1566</v>
      </c>
      <c r="B12" s="11">
        <v>1570</v>
      </c>
      <c r="C12" s="5">
        <v>51717.86156</v>
      </c>
      <c r="D12" s="5">
        <v>31498.076479999996</v>
      </c>
      <c r="E12" s="5">
        <f t="shared" si="0"/>
        <v>83215.93804</v>
      </c>
      <c r="F12" s="5">
        <v>2828243.1</v>
      </c>
      <c r="G12" s="5">
        <v>1286.5447095012294</v>
      </c>
      <c r="H12" s="5">
        <v>105197.84082254527</v>
      </c>
      <c r="I12" s="17">
        <f t="shared" si="1"/>
        <v>38.85241917032409</v>
      </c>
      <c r="J12" s="17">
        <f t="shared" si="2"/>
        <v>40.285138242055226</v>
      </c>
    </row>
    <row r="13" spans="1:10" ht="12.75">
      <c r="A13" s="11">
        <v>1571</v>
      </c>
      <c r="B13" s="11">
        <v>1575</v>
      </c>
      <c r="C13" s="5">
        <v>36439.0055</v>
      </c>
      <c r="D13" s="5">
        <v>35925.21314</v>
      </c>
      <c r="E13" s="5">
        <f t="shared" si="0"/>
        <v>72364.21864</v>
      </c>
      <c r="F13" s="5">
        <v>2381321.8</v>
      </c>
      <c r="G13" s="5">
        <v>770.0594383894946</v>
      </c>
      <c r="H13" s="5">
        <v>91353.21905118042</v>
      </c>
      <c r="I13" s="17">
        <f t="shared" si="1"/>
        <v>33.739224411669085</v>
      </c>
      <c r="J13" s="17">
        <f t="shared" si="2"/>
        <v>35.03178141535145</v>
      </c>
    </row>
    <row r="14" spans="1:10" ht="12.75">
      <c r="A14" s="11">
        <v>1576</v>
      </c>
      <c r="B14" s="11">
        <v>1580</v>
      </c>
      <c r="C14" s="5">
        <v>111607.52661999999</v>
      </c>
      <c r="D14" s="5">
        <v>30389.37501</v>
      </c>
      <c r="E14" s="5">
        <f t="shared" si="0"/>
        <v>141996.90162999998</v>
      </c>
      <c r="F14" s="5">
        <v>3450388.2</v>
      </c>
      <c r="G14" s="5">
        <v>1115.768561610505</v>
      </c>
      <c r="H14" s="5">
        <v>132365.17174881956</v>
      </c>
      <c r="I14" s="17">
        <f t="shared" si="1"/>
        <v>48.88605218630047</v>
      </c>
      <c r="J14" s="17">
        <f t="shared" si="2"/>
        <v>68.741216488582</v>
      </c>
    </row>
    <row r="15" spans="1:10" ht="12.75">
      <c r="A15" s="11">
        <v>1581</v>
      </c>
      <c r="B15" s="11">
        <v>1585</v>
      </c>
      <c r="C15" s="5">
        <v>168398.46375999998</v>
      </c>
      <c r="D15" s="5">
        <v>27613.049299999995</v>
      </c>
      <c r="E15" s="5">
        <f t="shared" si="0"/>
        <v>196011.51305999997</v>
      </c>
      <c r="F15" s="5">
        <v>5874922.4</v>
      </c>
      <c r="G15" s="5">
        <v>1336.2138558855027</v>
      </c>
      <c r="H15" s="5">
        <v>232207.5698233437</v>
      </c>
      <c r="I15" s="17">
        <f t="shared" si="1"/>
        <v>85.7605609274573</v>
      </c>
      <c r="J15" s="17">
        <f t="shared" si="2"/>
        <v>94.88988632034547</v>
      </c>
    </row>
    <row r="16" spans="1:10" ht="12.75">
      <c r="A16" s="11">
        <v>1586</v>
      </c>
      <c r="B16" s="11">
        <v>1590</v>
      </c>
      <c r="C16" s="5">
        <v>176839.5068</v>
      </c>
      <c r="D16" s="5">
        <v>28413.39977637394</v>
      </c>
      <c r="E16" s="5">
        <f t="shared" si="0"/>
        <v>205252.90657637393</v>
      </c>
      <c r="F16" s="5">
        <v>4766526.1</v>
      </c>
      <c r="G16" s="5">
        <v>1084.1161441144973</v>
      </c>
      <c r="H16" s="5">
        <v>188397.96797665622</v>
      </c>
      <c r="I16" s="17">
        <f t="shared" si="1"/>
        <v>69.58048535438792</v>
      </c>
      <c r="J16" s="17">
        <f t="shared" si="2"/>
        <v>99.36367853040751</v>
      </c>
    </row>
    <row r="17" spans="1:10" ht="12.75">
      <c r="A17" s="11">
        <v>1591</v>
      </c>
      <c r="B17" s="11">
        <v>1595</v>
      </c>
      <c r="C17" s="5">
        <v>192454.49252</v>
      </c>
      <c r="D17" s="5">
        <v>27002.86982</v>
      </c>
      <c r="E17" s="5">
        <f t="shared" si="0"/>
        <v>219457.36234</v>
      </c>
      <c r="F17" s="5">
        <v>7036972.5</v>
      </c>
      <c r="G17" s="5">
        <v>1966.2763257960974</v>
      </c>
      <c r="H17" s="5">
        <v>273704.53885134787</v>
      </c>
      <c r="I17" s="17">
        <f t="shared" si="1"/>
        <v>101.08651840308305</v>
      </c>
      <c r="J17" s="17">
        <f t="shared" si="2"/>
        <v>106.24010722386016</v>
      </c>
    </row>
    <row r="18" spans="1:10" ht="12.75">
      <c r="A18" s="11">
        <v>1596</v>
      </c>
      <c r="B18" s="11">
        <v>1600</v>
      </c>
      <c r="C18" s="5">
        <v>169671.91732</v>
      </c>
      <c r="D18" s="5">
        <v>24005.39814595887</v>
      </c>
      <c r="E18" s="5">
        <f t="shared" si="0"/>
        <v>193677.31546595888</v>
      </c>
      <c r="F18" s="5">
        <v>6885700.1</v>
      </c>
      <c r="G18" s="5">
        <v>1924.0076742039023</v>
      </c>
      <c r="H18" s="5">
        <v>267820.7667486522</v>
      </c>
      <c r="I18" s="17">
        <f t="shared" si="1"/>
        <v>98.91348159691697</v>
      </c>
      <c r="J18" s="17">
        <f t="shared" si="2"/>
        <v>93.75989277613982</v>
      </c>
    </row>
    <row r="19" spans="1:10" ht="12.75">
      <c r="A19" s="11">
        <v>1601</v>
      </c>
      <c r="B19" s="11">
        <v>1605</v>
      </c>
      <c r="C19" s="5">
        <v>183470.02397999997</v>
      </c>
      <c r="D19" s="5">
        <v>29736.3795</v>
      </c>
      <c r="E19" s="5">
        <f t="shared" si="0"/>
        <v>213206.40347999998</v>
      </c>
      <c r="F19" s="5">
        <v>4880665.6</v>
      </c>
      <c r="G19" s="5">
        <v>1028.8137715549065</v>
      </c>
      <c r="H19" s="5">
        <v>193590.35080488445</v>
      </c>
      <c r="I19" s="17">
        <f t="shared" si="1"/>
        <v>71.49817332742738</v>
      </c>
      <c r="J19" s="17">
        <f t="shared" si="2"/>
        <v>103.21399530645974</v>
      </c>
    </row>
    <row r="20" spans="1:10" ht="12.75">
      <c r="A20" s="11">
        <v>1606</v>
      </c>
      <c r="B20" s="11">
        <v>1610</v>
      </c>
      <c r="C20" s="5">
        <v>158273.45967999997</v>
      </c>
      <c r="D20" s="5">
        <v>34121.26738</v>
      </c>
      <c r="E20" s="5">
        <f t="shared" si="0"/>
        <v>192394.72705999998</v>
      </c>
      <c r="F20" s="5">
        <v>6281041.4</v>
      </c>
      <c r="G20" s="5">
        <v>1324.0042284450935</v>
      </c>
      <c r="H20" s="5">
        <v>249135.89819511556</v>
      </c>
      <c r="I20" s="17">
        <f t="shared" si="1"/>
        <v>92.01265226897478</v>
      </c>
      <c r="J20" s="17">
        <f t="shared" si="2"/>
        <v>93.13898706434125</v>
      </c>
    </row>
    <row r="21" spans="1:10" ht="12.75">
      <c r="A21" s="11">
        <v>1611</v>
      </c>
      <c r="B21" s="11">
        <v>1615</v>
      </c>
      <c r="C21" s="5">
        <v>161108.66593999998</v>
      </c>
      <c r="D21" s="5">
        <v>47517.24326819384</v>
      </c>
      <c r="E21" s="5">
        <f t="shared" si="0"/>
        <v>208625.90920819383</v>
      </c>
      <c r="F21" s="5">
        <v>4905624.1</v>
      </c>
      <c r="G21" s="5">
        <v>795.0851234487526</v>
      </c>
      <c r="H21" s="5">
        <v>196820.45348383937</v>
      </c>
      <c r="I21" s="17">
        <f t="shared" si="1"/>
        <v>72.69113795735397</v>
      </c>
      <c r="J21" s="17">
        <f t="shared" si="2"/>
        <v>100.99656137129271</v>
      </c>
    </row>
    <row r="22" spans="1:10" ht="12.75">
      <c r="A22" s="11">
        <v>1616</v>
      </c>
      <c r="B22" s="11">
        <v>1620</v>
      </c>
      <c r="C22" s="5">
        <v>139403.77498</v>
      </c>
      <c r="D22" s="5">
        <v>48213.16416</v>
      </c>
      <c r="E22" s="5">
        <f t="shared" si="0"/>
        <v>187616.93913999997</v>
      </c>
      <c r="F22" s="5">
        <v>6022492</v>
      </c>
      <c r="G22" s="5">
        <v>976.1028765512476</v>
      </c>
      <c r="H22" s="5">
        <v>241630.74511616057</v>
      </c>
      <c r="I22" s="17">
        <f t="shared" si="1"/>
        <v>89.24079544110617</v>
      </c>
      <c r="J22" s="17">
        <f t="shared" si="2"/>
        <v>90.82604255657274</v>
      </c>
    </row>
    <row r="23" spans="1:10" ht="12.75">
      <c r="A23" s="11">
        <v>1621</v>
      </c>
      <c r="B23" s="11">
        <v>1625</v>
      </c>
      <c r="C23" s="5">
        <v>134795.29984</v>
      </c>
      <c r="D23" s="5">
        <v>55609.74112</v>
      </c>
      <c r="E23" s="5">
        <f t="shared" si="0"/>
        <v>190405.04095999998</v>
      </c>
      <c r="F23" s="5">
        <v>5402135.7</v>
      </c>
      <c r="G23" s="5">
        <v>404.36694823838377</v>
      </c>
      <c r="H23" s="5">
        <v>223022.5519709609</v>
      </c>
      <c r="I23" s="17">
        <f t="shared" si="1"/>
        <v>82.3682844235159</v>
      </c>
      <c r="J23" s="17">
        <f t="shared" si="2"/>
        <v>92.17577278730856</v>
      </c>
    </row>
    <row r="24" spans="1:10" ht="12.75">
      <c r="A24" s="11">
        <v>1626</v>
      </c>
      <c r="B24" s="11">
        <v>1630</v>
      </c>
      <c r="C24" s="5">
        <v>130628.28133999999</v>
      </c>
      <c r="D24" s="5">
        <v>47861.74144</v>
      </c>
      <c r="E24" s="5">
        <f t="shared" si="0"/>
        <v>178490.02278</v>
      </c>
      <c r="F24" s="5">
        <v>4990905.3</v>
      </c>
      <c r="G24" s="5">
        <v>373.5850517616163</v>
      </c>
      <c r="H24" s="5">
        <v>206045.25662903916</v>
      </c>
      <c r="I24" s="17">
        <f t="shared" si="1"/>
        <v>76.09810825026719</v>
      </c>
      <c r="J24" s="17">
        <f t="shared" si="2"/>
        <v>86.40766915423798</v>
      </c>
    </row>
    <row r="25" spans="1:10" ht="12.75">
      <c r="A25" s="11">
        <v>1631</v>
      </c>
      <c r="B25" s="11">
        <v>1635</v>
      </c>
      <c r="C25" s="5">
        <v>124267.77516</v>
      </c>
      <c r="D25" s="5">
        <v>47934.530960000004</v>
      </c>
      <c r="E25" s="5">
        <f t="shared" si="0"/>
        <v>172202.30612000002</v>
      </c>
      <c r="F25" s="5">
        <v>3422170.8</v>
      </c>
      <c r="G25" s="5">
        <v>126.9948466916951</v>
      </c>
      <c r="H25" s="5">
        <v>143003.28160688834</v>
      </c>
      <c r="I25" s="17">
        <f t="shared" si="1"/>
        <v>52.814995025373136</v>
      </c>
      <c r="J25" s="17">
        <f t="shared" si="2"/>
        <v>83.36376265217804</v>
      </c>
    </row>
    <row r="26" spans="1:10" ht="12.75">
      <c r="A26" s="11">
        <v>1636</v>
      </c>
      <c r="B26" s="11">
        <v>1640</v>
      </c>
      <c r="C26" s="5">
        <v>147647.32426</v>
      </c>
      <c r="D26" s="5">
        <v>31044.37810017094</v>
      </c>
      <c r="E26" s="5">
        <f t="shared" si="0"/>
        <v>178691.70236017092</v>
      </c>
      <c r="F26" s="5">
        <v>3262920.4</v>
      </c>
      <c r="G26" s="5">
        <v>121.08515330830491</v>
      </c>
      <c r="H26" s="5">
        <v>136348.63719311167</v>
      </c>
      <c r="I26" s="17">
        <f t="shared" si="1"/>
        <v>50.357254142367324</v>
      </c>
      <c r="J26" s="17">
        <f t="shared" si="2"/>
        <v>86.50530297246016</v>
      </c>
    </row>
    <row r="27" spans="1:10" ht="12.75">
      <c r="A27" s="11">
        <v>1641</v>
      </c>
      <c r="B27" s="11">
        <v>1645</v>
      </c>
      <c r="C27" s="5">
        <v>113646.35926</v>
      </c>
      <c r="D27" s="5">
        <v>28101.06992444204</v>
      </c>
      <c r="E27" s="5">
        <f t="shared" si="0"/>
        <v>141747.42918444204</v>
      </c>
      <c r="F27" s="5">
        <v>2752760.5</v>
      </c>
      <c r="G27" s="5">
        <v>167.03380640634688</v>
      </c>
      <c r="H27" s="5">
        <v>113889.77949806959</v>
      </c>
      <c r="I27" s="17">
        <f t="shared" si="1"/>
        <v>42.0625881451216</v>
      </c>
      <c r="J27" s="17">
        <f t="shared" si="2"/>
        <v>68.6204459704145</v>
      </c>
    </row>
    <row r="28" spans="1:10" ht="12.75">
      <c r="A28" s="11">
        <v>1646</v>
      </c>
      <c r="B28" s="11">
        <v>1650</v>
      </c>
      <c r="C28" s="5">
        <v>121192.59946</v>
      </c>
      <c r="D28" s="5">
        <v>30215.72069652989</v>
      </c>
      <c r="E28" s="5">
        <f t="shared" si="0"/>
        <v>151408.3201565299</v>
      </c>
      <c r="F28" s="5">
        <v>2354109.4</v>
      </c>
      <c r="G28" s="5">
        <v>142.84419359365313</v>
      </c>
      <c r="H28" s="5">
        <v>97396.41370193043</v>
      </c>
      <c r="I28" s="17">
        <f t="shared" si="1"/>
        <v>35.97114029381028</v>
      </c>
      <c r="J28" s="17">
        <f t="shared" si="2"/>
        <v>73.29731842440171</v>
      </c>
    </row>
    <row r="29" spans="1:10" ht="12.75">
      <c r="A29" s="11">
        <v>1651</v>
      </c>
      <c r="B29" s="11">
        <v>1655</v>
      </c>
      <c r="C29" s="5">
        <v>99371.12728</v>
      </c>
      <c r="D29" s="5">
        <v>31046.27001198551</v>
      </c>
      <c r="E29" s="5">
        <f t="shared" si="0"/>
        <v>130417.39729198552</v>
      </c>
      <c r="F29" s="5">
        <v>1458753.4</v>
      </c>
      <c r="G29" s="5">
        <v>64.2693721457745</v>
      </c>
      <c r="H29" s="5">
        <v>60685.980680665074</v>
      </c>
      <c r="I29" s="17">
        <f t="shared" si="1"/>
        <v>22.412980539635583</v>
      </c>
      <c r="J29" s="17">
        <f t="shared" si="2"/>
        <v>63.13553632660194</v>
      </c>
    </row>
    <row r="30" spans="1:10" ht="12.75">
      <c r="A30" s="11">
        <v>1656</v>
      </c>
      <c r="B30" s="11">
        <v>1660</v>
      </c>
      <c r="C30" s="5">
        <v>103710.81668</v>
      </c>
      <c r="D30" s="5">
        <v>26373.409937571058</v>
      </c>
      <c r="E30" s="5">
        <f t="shared" si="0"/>
        <v>130084.22661757105</v>
      </c>
      <c r="F30" s="5">
        <v>672223.1</v>
      </c>
      <c r="G30" s="5">
        <v>29.616627854225516</v>
      </c>
      <c r="H30" s="5">
        <v>27965.328519334922</v>
      </c>
      <c r="I30" s="17">
        <f t="shared" si="1"/>
        <v>10.328355196014286</v>
      </c>
      <c r="J30" s="17">
        <f t="shared" si="2"/>
        <v>62.974247191454126</v>
      </c>
    </row>
    <row r="32" spans="3:8" ht="12.75">
      <c r="C32" s="5">
        <f aca="true" t="shared" si="3" ref="C32:H32">SUM(C9:C31)*5</f>
        <v>13499546.421300001</v>
      </c>
      <c r="D32" s="5">
        <f t="shared" si="3"/>
        <v>3558391.86570613</v>
      </c>
      <c r="E32" s="5">
        <f t="shared" si="3"/>
        <v>17057938.28700613</v>
      </c>
      <c r="F32" s="5">
        <f t="shared" si="3"/>
        <v>427221444.5000001</v>
      </c>
      <c r="G32" s="5">
        <f t="shared" si="3"/>
        <v>122902.24</v>
      </c>
      <c r="H32" s="5">
        <f t="shared" si="3"/>
        <v>16622899.524000004</v>
      </c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6"/>
  </sheetPr>
  <dimension ref="A1:K27"/>
  <sheetViews>
    <sheetView zoomScale="90" zoomScaleNormal="90" zoomScalePageLayoutView="0" workbookViewId="0" topLeftCell="A1">
      <selection activeCell="B27" sqref="B27"/>
    </sheetView>
  </sheetViews>
  <sheetFormatPr defaultColWidth="9.140625" defaultRowHeight="12.75"/>
  <cols>
    <col min="1" max="1" width="8.421875" style="1" customWidth="1"/>
    <col min="3" max="3" width="8.421875" style="17" customWidth="1"/>
    <col min="4" max="4" width="15.57421875" style="5" customWidth="1"/>
    <col min="6" max="6" width="14.421875" style="5" customWidth="1"/>
    <col min="7" max="7" width="13.421875" style="5" customWidth="1"/>
    <col min="9" max="9" width="13.7109375" style="0" customWidth="1"/>
    <col min="11" max="11" width="16.00390625" style="17" customWidth="1"/>
  </cols>
  <sheetData>
    <row r="1" ht="12.75">
      <c r="C1" s="18" t="s">
        <v>323</v>
      </c>
    </row>
    <row r="3" spans="1:11" ht="12.75">
      <c r="A3" s="1" t="s">
        <v>577</v>
      </c>
      <c r="B3" s="1" t="s">
        <v>3</v>
      </c>
      <c r="C3" s="18" t="s">
        <v>480</v>
      </c>
      <c r="D3" s="4" t="s">
        <v>482</v>
      </c>
      <c r="E3" s="1"/>
      <c r="F3" s="4" t="s">
        <v>517</v>
      </c>
      <c r="G3" s="4" t="s">
        <v>517</v>
      </c>
      <c r="I3" s="1" t="s">
        <v>532</v>
      </c>
      <c r="K3" s="18" t="s">
        <v>319</v>
      </c>
    </row>
    <row r="4" spans="2:11" ht="12.75">
      <c r="B4" s="1"/>
      <c r="C4" s="18" t="s">
        <v>194</v>
      </c>
      <c r="D4" s="4" t="s">
        <v>200</v>
      </c>
      <c r="E4" s="1"/>
      <c r="F4" s="4" t="s">
        <v>386</v>
      </c>
      <c r="G4" s="4" t="s">
        <v>386</v>
      </c>
      <c r="I4" s="1" t="s">
        <v>206</v>
      </c>
      <c r="K4" s="18" t="s">
        <v>572</v>
      </c>
    </row>
    <row r="5" spans="3:11" ht="12.75">
      <c r="C5" s="18" t="s">
        <v>441</v>
      </c>
      <c r="D5" s="4"/>
      <c r="F5" s="4" t="s">
        <v>204</v>
      </c>
      <c r="G5" s="4" t="s">
        <v>213</v>
      </c>
      <c r="I5" s="1" t="s">
        <v>442</v>
      </c>
      <c r="K5" s="18" t="s">
        <v>549</v>
      </c>
    </row>
    <row r="6" spans="9:11" ht="12.75">
      <c r="I6" s="1" t="s">
        <v>387</v>
      </c>
      <c r="K6" s="18" t="s">
        <v>442</v>
      </c>
    </row>
    <row r="9" spans="1:11" ht="12.75">
      <c r="A9" s="1" t="s">
        <v>107</v>
      </c>
      <c r="C9" s="17">
        <v>48</v>
      </c>
      <c r="D9" s="5">
        <f>C9*(272/450)*10000000</f>
        <v>290133333.3333334</v>
      </c>
      <c r="F9" s="5">
        <f>D9*(42.29/1000)</f>
        <v>12269738.666666668</v>
      </c>
      <c r="G9" s="5">
        <f>F9/5</f>
        <v>2453947.7333333334</v>
      </c>
      <c r="I9" s="5">
        <v>101533.96377290018</v>
      </c>
      <c r="K9" s="17">
        <f>G9/I9</f>
        <v>24.168737653363454</v>
      </c>
    </row>
    <row r="11" spans="1:11" ht="12.75">
      <c r="A11" s="1" t="s">
        <v>109</v>
      </c>
      <c r="C11" s="17">
        <v>53.4</v>
      </c>
      <c r="D11" s="5">
        <f>C11*(272/450)*10000000</f>
        <v>322773333.3333333</v>
      </c>
      <c r="F11" s="5">
        <f>D11*(42.29/1000)</f>
        <v>13650084.266666666</v>
      </c>
      <c r="G11" s="5">
        <f>F11/5</f>
        <v>2730016.853333333</v>
      </c>
      <c r="I11" s="5">
        <v>118530.15690855787</v>
      </c>
      <c r="K11" s="17">
        <f>G11/I11</f>
        <v>23.032255457482027</v>
      </c>
    </row>
    <row r="13" spans="1:11" ht="12.75">
      <c r="A13" s="1" t="s">
        <v>110</v>
      </c>
      <c r="C13" s="17">
        <v>70</v>
      </c>
      <c r="D13" s="5">
        <f>C13*(272/450)*10000000</f>
        <v>423111111.1111111</v>
      </c>
      <c r="F13" s="5">
        <f>D13*(42.29/1000)</f>
        <v>17893368.888888888</v>
      </c>
      <c r="G13" s="5">
        <f>F13/5</f>
        <v>3578673.7777777775</v>
      </c>
      <c r="I13" s="5">
        <v>132421.83298903995</v>
      </c>
      <c r="K13" s="17">
        <f>G13/I13</f>
        <v>27.024801703764144</v>
      </c>
    </row>
    <row r="15" spans="1:11" ht="12.75">
      <c r="A15" s="1" t="s">
        <v>112</v>
      </c>
      <c r="C15" s="17">
        <v>67.6</v>
      </c>
      <c r="D15" s="5">
        <f>C15*(272/450)*10000000</f>
        <v>408604444.4444444</v>
      </c>
      <c r="F15" s="5">
        <f>D15*(42.29/1000)</f>
        <v>17279881.955555554</v>
      </c>
      <c r="G15" s="5">
        <f>F15/5</f>
        <v>3455976.391111111</v>
      </c>
      <c r="I15" s="5">
        <v>139897.0117166582</v>
      </c>
      <c r="K15" s="17">
        <f>G15/I15</f>
        <v>24.703718461911876</v>
      </c>
    </row>
    <row r="17" spans="1:11" ht="12.75">
      <c r="A17" s="1" t="s">
        <v>113</v>
      </c>
      <c r="C17" s="17">
        <v>37.1</v>
      </c>
      <c r="D17" s="5">
        <f>C17*(272/450)*10000000</f>
        <v>224248888.8888889</v>
      </c>
      <c r="F17" s="5">
        <f>D17*(42.29/1000)</f>
        <v>9483485.511111112</v>
      </c>
      <c r="G17" s="5">
        <f>F17/5</f>
        <v>1896697.1022222224</v>
      </c>
      <c r="I17" s="5">
        <v>156497.18339787066</v>
      </c>
      <c r="K17" s="17">
        <f>G17/I17</f>
        <v>12.119688425319158</v>
      </c>
    </row>
    <row r="19" spans="1:11" ht="12.75">
      <c r="A19" s="1" t="s">
        <v>115</v>
      </c>
      <c r="C19" s="17">
        <v>65.5</v>
      </c>
      <c r="D19" s="5">
        <f>C19*(272/450)*10000000</f>
        <v>395911111.1111111</v>
      </c>
      <c r="F19" s="5">
        <f>D19*(42.29/1000)</f>
        <v>16743080.88888889</v>
      </c>
      <c r="G19" s="5">
        <f>F19/5</f>
        <v>3348616.177777778</v>
      </c>
      <c r="I19" s="5">
        <v>143212.927937601</v>
      </c>
      <c r="K19" s="17">
        <f>G19/I19</f>
        <v>23.38208027725539</v>
      </c>
    </row>
    <row r="21" spans="1:11" ht="12.75">
      <c r="A21" s="1" t="s">
        <v>118</v>
      </c>
      <c r="C21" s="17">
        <v>57</v>
      </c>
      <c r="D21" s="5">
        <f>C21*(272/450)*10000000</f>
        <v>344533333.3333333</v>
      </c>
      <c r="F21" s="5">
        <f>D21*(42.29/1000)</f>
        <v>14570314.666666666</v>
      </c>
      <c r="G21" s="5">
        <f>F21/5</f>
        <v>2914062.933333333</v>
      </c>
      <c r="I21" s="5">
        <v>117545.57635034318</v>
      </c>
      <c r="K21" s="17">
        <f>G21/I21</f>
        <v>24.79091960592378</v>
      </c>
    </row>
    <row r="23" spans="1:11" ht="12.75">
      <c r="A23" s="1" t="s">
        <v>119</v>
      </c>
      <c r="C23" s="17">
        <v>77</v>
      </c>
      <c r="D23" s="5">
        <f>C23*(272/450)*10000000</f>
        <v>465422222.2222222</v>
      </c>
      <c r="F23" s="5">
        <f>D23*(42.29/1000)</f>
        <v>19682705.777777776</v>
      </c>
      <c r="G23" s="5">
        <f>F23/5</f>
        <v>3936541.155555555</v>
      </c>
      <c r="I23" s="5">
        <v>95841.85148600361</v>
      </c>
      <c r="K23" s="17">
        <f>G23/I23</f>
        <v>41.0733003851708</v>
      </c>
    </row>
    <row r="26" spans="1:2" ht="12.75">
      <c r="A26" s="1" t="s">
        <v>527</v>
      </c>
      <c r="B26" t="s">
        <v>1</v>
      </c>
    </row>
    <row r="27" ht="12.75">
      <c r="B27" s="2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29"/>
  </sheetPr>
  <dimension ref="A1:O37"/>
  <sheetViews>
    <sheetView zoomScale="90" zoomScaleNormal="90" zoomScalePageLayoutView="0" workbookViewId="0" topLeftCell="A1">
      <pane xSplit="2" ySplit="8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8" sqref="B38"/>
    </sheetView>
  </sheetViews>
  <sheetFormatPr defaultColWidth="9.140625" defaultRowHeight="12.75"/>
  <cols>
    <col min="1" max="1" width="8.421875" style="1" customWidth="1"/>
    <col min="3" max="8" width="8.421875" style="5" customWidth="1"/>
    <col min="9" max="9" width="10.57421875" style="5" customWidth="1"/>
    <col min="10" max="10" width="8.421875" style="5" customWidth="1"/>
    <col min="11" max="11" width="15.8515625" style="5" customWidth="1"/>
    <col min="12" max="12" width="12.8515625" style="5" customWidth="1"/>
    <col min="14" max="14" width="8.421875" style="19" customWidth="1"/>
  </cols>
  <sheetData>
    <row r="1" ht="12.75">
      <c r="D1" s="4" t="s">
        <v>568</v>
      </c>
    </row>
    <row r="2" ht="12.75">
      <c r="D2" s="4" t="s">
        <v>212</v>
      </c>
    </row>
    <row r="3" ht="12.75">
      <c r="D3" s="4" t="s">
        <v>58</v>
      </c>
    </row>
    <row r="5" spans="1:15" ht="12.75">
      <c r="A5" s="1" t="s">
        <v>269</v>
      </c>
      <c r="C5" s="4" t="s">
        <v>532</v>
      </c>
      <c r="D5" s="4" t="s">
        <v>203</v>
      </c>
      <c r="E5" s="4" t="s">
        <v>286</v>
      </c>
      <c r="F5" s="4"/>
      <c r="G5" s="4" t="s">
        <v>551</v>
      </c>
      <c r="I5" s="4" t="s">
        <v>532</v>
      </c>
      <c r="J5" s="4"/>
      <c r="K5" s="4" t="s">
        <v>531</v>
      </c>
      <c r="L5" s="4" t="s">
        <v>434</v>
      </c>
      <c r="N5" s="20" t="s">
        <v>320</v>
      </c>
      <c r="O5" s="1"/>
    </row>
    <row r="6" spans="3:15" ht="12.75">
      <c r="C6" s="4" t="s">
        <v>205</v>
      </c>
      <c r="D6" s="4"/>
      <c r="E6" s="4"/>
      <c r="F6" s="4"/>
      <c r="G6" s="4"/>
      <c r="I6" s="4" t="s">
        <v>205</v>
      </c>
      <c r="J6" s="4"/>
      <c r="K6" s="4" t="s">
        <v>446</v>
      </c>
      <c r="L6" s="4" t="s">
        <v>444</v>
      </c>
      <c r="N6" s="20" t="s">
        <v>542</v>
      </c>
      <c r="O6" s="1"/>
    </row>
    <row r="7" spans="9:15" ht="12.75">
      <c r="I7" s="4" t="s">
        <v>322</v>
      </c>
      <c r="J7" s="4"/>
      <c r="K7" s="4" t="s">
        <v>332</v>
      </c>
      <c r="L7" s="4" t="s">
        <v>385</v>
      </c>
      <c r="N7" s="20" t="s">
        <v>443</v>
      </c>
      <c r="O7" s="1"/>
    </row>
    <row r="9" spans="1:9" ht="12.75">
      <c r="A9" s="1" t="s">
        <v>57</v>
      </c>
      <c r="C9" s="5">
        <v>25.8</v>
      </c>
      <c r="D9" s="5">
        <v>6</v>
      </c>
      <c r="E9" s="5">
        <v>72</v>
      </c>
      <c r="G9" s="5">
        <f aca="true" t="shared" si="0" ref="G9:G35">SUM(C9:E9)</f>
        <v>103.8</v>
      </c>
      <c r="I9" s="5">
        <f aca="true" t="shared" si="1" ref="I9:I35">C9*1000</f>
        <v>25800</v>
      </c>
    </row>
    <row r="10" spans="1:9" ht="12.75">
      <c r="A10" s="1" t="s">
        <v>64</v>
      </c>
      <c r="C10" s="5">
        <v>57.5</v>
      </c>
      <c r="D10" s="5">
        <v>6</v>
      </c>
      <c r="E10" s="5">
        <v>72</v>
      </c>
      <c r="G10" s="5">
        <f t="shared" si="0"/>
        <v>135.5</v>
      </c>
      <c r="I10" s="5">
        <f t="shared" si="1"/>
        <v>57500</v>
      </c>
    </row>
    <row r="11" spans="1:14" ht="12.75">
      <c r="A11" s="1" t="s">
        <v>68</v>
      </c>
      <c r="C11" s="5">
        <v>80.7</v>
      </c>
      <c r="D11" s="5">
        <v>6</v>
      </c>
      <c r="E11" s="5">
        <v>72</v>
      </c>
      <c r="G11" s="5">
        <f t="shared" si="0"/>
        <v>158.7</v>
      </c>
      <c r="I11" s="5">
        <f t="shared" si="1"/>
        <v>80700</v>
      </c>
      <c r="K11" s="5">
        <v>80886.99106</v>
      </c>
      <c r="N11" s="19">
        <f aca="true" t="shared" si="2" ref="N11:N29">I11/K11</f>
        <v>0.9976882430963306</v>
      </c>
    </row>
    <row r="12" spans="1:14" ht="12.75">
      <c r="A12" s="1" t="s">
        <v>71</v>
      </c>
      <c r="C12" s="5">
        <v>108</v>
      </c>
      <c r="D12" s="5">
        <v>6</v>
      </c>
      <c r="E12" s="5">
        <v>46</v>
      </c>
      <c r="G12" s="5">
        <f t="shared" si="0"/>
        <v>160</v>
      </c>
      <c r="I12" s="5">
        <f t="shared" si="1"/>
        <v>108000</v>
      </c>
      <c r="K12" s="5">
        <v>83528.85583</v>
      </c>
      <c r="N12" s="19">
        <f t="shared" si="2"/>
        <v>1.2929663518892713</v>
      </c>
    </row>
    <row r="13" spans="1:14" ht="12.75">
      <c r="A13" s="1" t="s">
        <v>74</v>
      </c>
      <c r="C13" s="5">
        <v>124</v>
      </c>
      <c r="D13" s="5">
        <v>6</v>
      </c>
      <c r="E13" s="5">
        <v>46</v>
      </c>
      <c r="G13" s="5">
        <f t="shared" si="0"/>
        <v>176</v>
      </c>
      <c r="I13" s="5">
        <f t="shared" si="1"/>
        <v>124000</v>
      </c>
      <c r="K13" s="5">
        <v>107180.56013499999</v>
      </c>
      <c r="N13" s="19">
        <f t="shared" si="2"/>
        <v>1.1569262172525967</v>
      </c>
    </row>
    <row r="14" spans="1:14" ht="12.75">
      <c r="A14" s="1" t="s">
        <v>77</v>
      </c>
      <c r="C14" s="5">
        <v>224</v>
      </c>
      <c r="D14" s="5">
        <v>8</v>
      </c>
      <c r="E14" s="5">
        <v>36</v>
      </c>
      <c r="G14" s="5">
        <f t="shared" si="0"/>
        <v>268</v>
      </c>
      <c r="I14" s="5">
        <f t="shared" si="1"/>
        <v>224000</v>
      </c>
      <c r="K14" s="5">
        <v>200632.20981818697</v>
      </c>
      <c r="N14" s="19">
        <f t="shared" si="2"/>
        <v>1.1164707810524988</v>
      </c>
    </row>
    <row r="15" spans="1:14" ht="12.75">
      <c r="A15" s="1" t="s">
        <v>79</v>
      </c>
      <c r="C15" s="5">
        <v>293.8</v>
      </c>
      <c r="D15" s="5">
        <v>10</v>
      </c>
      <c r="E15" s="5">
        <v>36</v>
      </c>
      <c r="G15" s="5">
        <f t="shared" si="0"/>
        <v>339.8</v>
      </c>
      <c r="I15" s="5">
        <f t="shared" si="1"/>
        <v>293800</v>
      </c>
      <c r="K15" s="5">
        <v>206567.33890297942</v>
      </c>
      <c r="N15" s="19">
        <f t="shared" si="2"/>
        <v>1.422296484818406</v>
      </c>
    </row>
    <row r="16" spans="1:14" ht="12.75">
      <c r="A16" s="1" t="s">
        <v>85</v>
      </c>
      <c r="C16" s="5">
        <v>236.2</v>
      </c>
      <c r="D16" s="5">
        <v>12</v>
      </c>
      <c r="E16" s="5">
        <v>30</v>
      </c>
      <c r="G16" s="5">
        <f t="shared" si="0"/>
        <v>278.2</v>
      </c>
      <c r="I16" s="5">
        <f t="shared" si="1"/>
        <v>236200</v>
      </c>
      <c r="K16" s="5">
        <v>202800.56526999996</v>
      </c>
      <c r="N16" s="19">
        <f t="shared" si="2"/>
        <v>1.164691033703646</v>
      </c>
    </row>
    <row r="17" spans="1:14" ht="12.75">
      <c r="A17" s="1" t="s">
        <v>90</v>
      </c>
      <c r="C17" s="5">
        <v>238</v>
      </c>
      <c r="D17" s="5">
        <v>12</v>
      </c>
      <c r="E17" s="5">
        <v>30</v>
      </c>
      <c r="G17" s="5">
        <f t="shared" si="0"/>
        <v>280</v>
      </c>
      <c r="I17" s="5">
        <f t="shared" si="1"/>
        <v>238000</v>
      </c>
      <c r="K17" s="5">
        <v>198121.4241740969</v>
      </c>
      <c r="N17" s="19">
        <f t="shared" si="2"/>
        <v>1.2012835108173878</v>
      </c>
    </row>
    <row r="18" spans="1:14" ht="12.75">
      <c r="A18" s="1" t="s">
        <v>94</v>
      </c>
      <c r="C18" s="5">
        <v>252.6</v>
      </c>
      <c r="D18" s="5">
        <v>18</v>
      </c>
      <c r="E18" s="5">
        <v>20</v>
      </c>
      <c r="G18" s="5">
        <f t="shared" si="0"/>
        <v>290.6</v>
      </c>
      <c r="I18" s="5">
        <f t="shared" si="1"/>
        <v>252600</v>
      </c>
      <c r="K18" s="5">
        <v>184447.53187</v>
      </c>
      <c r="N18" s="19">
        <f t="shared" si="2"/>
        <v>1.3694951482356206</v>
      </c>
    </row>
    <row r="19" spans="1:14" ht="12.75">
      <c r="A19" s="1" t="s">
        <v>97</v>
      </c>
      <c r="C19" s="5">
        <v>236.2</v>
      </c>
      <c r="D19" s="5">
        <v>18</v>
      </c>
      <c r="E19" s="5">
        <v>20</v>
      </c>
      <c r="G19" s="5">
        <f t="shared" si="0"/>
        <v>274.2</v>
      </c>
      <c r="I19" s="5">
        <f t="shared" si="1"/>
        <v>236200</v>
      </c>
      <c r="K19" s="5">
        <v>175447.00424008546</v>
      </c>
      <c r="N19" s="19">
        <f t="shared" si="2"/>
        <v>1.3462754808670248</v>
      </c>
    </row>
    <row r="20" spans="1:14" ht="12.75">
      <c r="A20" s="1" t="s">
        <v>100</v>
      </c>
      <c r="C20" s="5">
        <v>178.3</v>
      </c>
      <c r="D20" s="5">
        <v>18</v>
      </c>
      <c r="E20" s="5">
        <v>20</v>
      </c>
      <c r="G20" s="5">
        <f t="shared" si="0"/>
        <v>216.3</v>
      </c>
      <c r="I20" s="5">
        <f t="shared" si="1"/>
        <v>178300</v>
      </c>
      <c r="K20" s="5">
        <v>146577.87467048597</v>
      </c>
      <c r="N20" s="19">
        <f t="shared" si="2"/>
        <v>1.2164182377512764</v>
      </c>
    </row>
    <row r="21" spans="1:14" ht="12.75">
      <c r="A21" s="1" t="s">
        <v>104</v>
      </c>
      <c r="C21" s="5">
        <v>183.1</v>
      </c>
      <c r="D21" s="5">
        <v>18</v>
      </c>
      <c r="E21" s="5">
        <v>30</v>
      </c>
      <c r="G21" s="5">
        <f t="shared" si="0"/>
        <v>231.1</v>
      </c>
      <c r="I21" s="5">
        <f t="shared" si="1"/>
        <v>183100</v>
      </c>
      <c r="K21" s="5">
        <v>130250.81195477828</v>
      </c>
      <c r="N21" s="19">
        <f t="shared" si="2"/>
        <v>1.4057493942039332</v>
      </c>
    </row>
    <row r="22" spans="1:14" ht="12.75">
      <c r="A22" s="1" t="s">
        <v>106</v>
      </c>
      <c r="C22" s="5">
        <v>401.9</v>
      </c>
      <c r="D22" s="5">
        <v>18</v>
      </c>
      <c r="E22" s="5">
        <v>30</v>
      </c>
      <c r="G22" s="5">
        <f t="shared" si="0"/>
        <v>449.9</v>
      </c>
      <c r="I22" s="5">
        <f t="shared" si="1"/>
        <v>401900</v>
      </c>
      <c r="K22" s="5">
        <v>110032.06034072902</v>
      </c>
      <c r="N22" s="19">
        <f t="shared" si="2"/>
        <v>3.652571793670525</v>
      </c>
    </row>
    <row r="23" spans="1:14" ht="12.75">
      <c r="A23" s="1" t="s">
        <v>111</v>
      </c>
      <c r="C23" s="5">
        <v>360.7</v>
      </c>
      <c r="D23" s="5">
        <v>18</v>
      </c>
      <c r="E23" s="5">
        <v>30</v>
      </c>
      <c r="G23" s="5">
        <f t="shared" si="0"/>
        <v>408.7</v>
      </c>
      <c r="I23" s="5">
        <f t="shared" si="1"/>
        <v>360700</v>
      </c>
      <c r="K23" s="5">
        <v>136159.42235284904</v>
      </c>
      <c r="N23" s="19">
        <f t="shared" si="2"/>
        <v>2.6491005452804246</v>
      </c>
    </row>
    <row r="24" spans="1:14" ht="12.75">
      <c r="A24" s="1" t="s">
        <v>114</v>
      </c>
      <c r="C24" s="5">
        <v>365</v>
      </c>
      <c r="D24" s="5">
        <v>18</v>
      </c>
      <c r="E24" s="5">
        <v>36</v>
      </c>
      <c r="G24" s="5">
        <f t="shared" si="0"/>
        <v>419</v>
      </c>
      <c r="I24" s="5">
        <f t="shared" si="1"/>
        <v>365000</v>
      </c>
      <c r="K24" s="5">
        <v>149855.0556677358</v>
      </c>
      <c r="N24" s="19">
        <f t="shared" si="2"/>
        <v>2.4356869267680334</v>
      </c>
    </row>
    <row r="25" spans="1:14" ht="12.75">
      <c r="A25" s="1" t="s">
        <v>116</v>
      </c>
      <c r="C25" s="5">
        <v>367.9</v>
      </c>
      <c r="D25" s="5">
        <v>24</v>
      </c>
      <c r="E25" s="5">
        <v>36</v>
      </c>
      <c r="G25" s="5">
        <f t="shared" si="0"/>
        <v>427.9</v>
      </c>
      <c r="I25" s="5">
        <f t="shared" si="1"/>
        <v>367900</v>
      </c>
      <c r="K25" s="5">
        <v>106693.71391817341</v>
      </c>
      <c r="N25" s="19">
        <f t="shared" si="2"/>
        <v>3.448188149886257</v>
      </c>
    </row>
    <row r="26" spans="1:14" ht="12.75">
      <c r="A26" s="1" t="s">
        <v>124</v>
      </c>
      <c r="C26" s="5">
        <v>344.8</v>
      </c>
      <c r="D26" s="5">
        <v>18</v>
      </c>
      <c r="E26" s="5">
        <v>36</v>
      </c>
      <c r="G26" s="5">
        <f t="shared" si="0"/>
        <v>398.8</v>
      </c>
      <c r="I26" s="5">
        <f t="shared" si="1"/>
        <v>344800</v>
      </c>
      <c r="K26" s="5">
        <v>84618.98995219883</v>
      </c>
      <c r="L26" s="15">
        <v>138630.79475</v>
      </c>
      <c r="N26" s="19">
        <f t="shared" si="2"/>
        <v>4.074735472436827</v>
      </c>
    </row>
    <row r="27" spans="1:14" ht="12.75">
      <c r="A27" s="1" t="s">
        <v>130</v>
      </c>
      <c r="C27" s="5">
        <v>388</v>
      </c>
      <c r="D27" s="5">
        <v>18</v>
      </c>
      <c r="E27" s="5">
        <v>36</v>
      </c>
      <c r="G27" s="5">
        <f t="shared" si="0"/>
        <v>442</v>
      </c>
      <c r="I27" s="5">
        <f t="shared" si="1"/>
        <v>388000</v>
      </c>
      <c r="K27" s="5">
        <v>92693.17173571953</v>
      </c>
      <c r="L27" s="15">
        <v>175723.15879999998</v>
      </c>
      <c r="N27" s="19">
        <f t="shared" si="2"/>
        <v>4.185853097208057</v>
      </c>
    </row>
    <row r="28" spans="1:14" ht="12.75">
      <c r="A28" s="1" t="s">
        <v>136</v>
      </c>
      <c r="C28" s="5">
        <v>634.1</v>
      </c>
      <c r="D28" s="5">
        <v>18</v>
      </c>
      <c r="E28" s="5">
        <v>42</v>
      </c>
      <c r="G28" s="5">
        <f t="shared" si="0"/>
        <v>694.1</v>
      </c>
      <c r="I28" s="5">
        <f t="shared" si="1"/>
        <v>634100</v>
      </c>
      <c r="K28" s="5">
        <v>33937.38762</v>
      </c>
      <c r="L28" s="15">
        <v>224635.538</v>
      </c>
      <c r="N28" s="19">
        <f t="shared" si="2"/>
        <v>18.684408095875707</v>
      </c>
    </row>
    <row r="29" spans="1:14" ht="12.75">
      <c r="A29" s="1" t="s">
        <v>142</v>
      </c>
      <c r="C29" s="5">
        <v>538</v>
      </c>
      <c r="D29" s="5">
        <v>18</v>
      </c>
      <c r="E29" s="5">
        <v>48</v>
      </c>
      <c r="G29" s="5">
        <f t="shared" si="0"/>
        <v>604</v>
      </c>
      <c r="I29" s="5">
        <f t="shared" si="1"/>
        <v>538000</v>
      </c>
      <c r="K29" s="5">
        <v>40548.7697815</v>
      </c>
      <c r="L29" s="15">
        <v>241671.07655</v>
      </c>
      <c r="N29" s="19">
        <f t="shared" si="2"/>
        <v>13.267973428023888</v>
      </c>
    </row>
    <row r="30" spans="1:12" ht="12.75">
      <c r="A30" s="1" t="s">
        <v>148</v>
      </c>
      <c r="C30" s="5">
        <v>614</v>
      </c>
      <c r="D30" s="5">
        <v>12</v>
      </c>
      <c r="E30" s="5">
        <v>64</v>
      </c>
      <c r="G30" s="5">
        <f t="shared" si="0"/>
        <v>690</v>
      </c>
      <c r="I30" s="5">
        <f t="shared" si="1"/>
        <v>614000</v>
      </c>
      <c r="L30" s="15">
        <v>273804.768</v>
      </c>
    </row>
    <row r="31" spans="1:12" ht="12.75">
      <c r="A31" s="1" t="s">
        <v>154</v>
      </c>
      <c r="C31" s="5">
        <v>603.3</v>
      </c>
      <c r="D31" s="5">
        <v>12</v>
      </c>
      <c r="E31" s="5">
        <v>70</v>
      </c>
      <c r="G31" s="5">
        <f t="shared" si="0"/>
        <v>685.3</v>
      </c>
      <c r="I31" s="5">
        <f t="shared" si="1"/>
        <v>603300</v>
      </c>
      <c r="L31" s="15">
        <v>335673.47754999995</v>
      </c>
    </row>
    <row r="32" spans="1:12" ht="12.75">
      <c r="A32" s="1" t="s">
        <v>159</v>
      </c>
      <c r="C32" s="5">
        <v>525.2</v>
      </c>
      <c r="D32" s="5">
        <v>12</v>
      </c>
      <c r="E32" s="5">
        <v>80</v>
      </c>
      <c r="G32" s="5">
        <f t="shared" si="0"/>
        <v>617.2</v>
      </c>
      <c r="I32" s="5">
        <f t="shared" si="1"/>
        <v>525200</v>
      </c>
      <c r="L32" s="15">
        <v>301320.02339999995</v>
      </c>
    </row>
    <row r="33" spans="1:12" ht="12.75">
      <c r="A33" s="1" t="s">
        <v>164</v>
      </c>
      <c r="C33" s="5">
        <v>476.5</v>
      </c>
      <c r="D33" s="5">
        <v>12</v>
      </c>
      <c r="E33" s="5">
        <v>90</v>
      </c>
      <c r="G33" s="5">
        <f t="shared" si="0"/>
        <v>578.5</v>
      </c>
      <c r="I33" s="5">
        <f t="shared" si="1"/>
        <v>476500</v>
      </c>
      <c r="L33" s="15">
        <v>441574.4011</v>
      </c>
    </row>
    <row r="34" spans="1:12" ht="12.75">
      <c r="A34" s="1" t="s">
        <v>170</v>
      </c>
      <c r="C34" s="5">
        <v>830</v>
      </c>
      <c r="D34" s="5">
        <v>12</v>
      </c>
      <c r="E34" s="5">
        <v>90</v>
      </c>
      <c r="G34" s="5">
        <f t="shared" si="0"/>
        <v>932</v>
      </c>
      <c r="I34" s="5">
        <f t="shared" si="1"/>
        <v>830000</v>
      </c>
      <c r="L34" s="15">
        <f>AVERAGE(L31:L33)</f>
        <v>359522.6340166666</v>
      </c>
    </row>
    <row r="35" spans="1:12" ht="12.75">
      <c r="A35" s="1" t="s">
        <v>176</v>
      </c>
      <c r="C35" s="5">
        <v>582.3</v>
      </c>
      <c r="D35" s="5">
        <v>12</v>
      </c>
      <c r="E35" s="5">
        <v>90</v>
      </c>
      <c r="G35" s="5">
        <f t="shared" si="0"/>
        <v>684.3</v>
      </c>
      <c r="I35" s="5">
        <f t="shared" si="1"/>
        <v>582300</v>
      </c>
      <c r="L35" s="15">
        <v>590422.2759499999</v>
      </c>
    </row>
    <row r="37" ht="12.75">
      <c r="B3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3.421875" style="0" customWidth="1"/>
    <col min="5" max="5" width="16.140625" style="0" customWidth="1"/>
    <col min="6" max="6" width="10.8515625" style="0" customWidth="1"/>
    <col min="7" max="7" width="14.00390625" style="0" customWidth="1"/>
    <col min="8" max="8" width="9.7109375" style="0" customWidth="1"/>
    <col min="9" max="9" width="10.421875" style="0" customWidth="1"/>
  </cols>
  <sheetData>
    <row r="1" spans="1:9" ht="12.75">
      <c r="A1" s="11"/>
      <c r="B1" s="1" t="s">
        <v>520</v>
      </c>
      <c r="F1" s="5"/>
      <c r="H1" s="5"/>
      <c r="I1" s="4"/>
    </row>
    <row r="2" spans="1:9" ht="12.75">
      <c r="A2" s="11"/>
      <c r="B2" s="1" t="s">
        <v>16</v>
      </c>
      <c r="F2" s="5"/>
      <c r="H2" s="5"/>
      <c r="I2" s="4"/>
    </row>
    <row r="3" spans="1:9" ht="12.75">
      <c r="A3" s="11"/>
      <c r="B3" s="5"/>
      <c r="F3" s="5"/>
      <c r="H3" s="5"/>
      <c r="I3" s="4"/>
    </row>
    <row r="4" spans="1:9" ht="12.75">
      <c r="A4" s="11" t="s">
        <v>577</v>
      </c>
      <c r="B4" s="4" t="s">
        <v>505</v>
      </c>
      <c r="C4" s="4" t="s">
        <v>537</v>
      </c>
      <c r="D4" s="4" t="s">
        <v>244</v>
      </c>
      <c r="E4" s="4" t="s">
        <v>244</v>
      </c>
      <c r="F4" s="4" t="s">
        <v>524</v>
      </c>
      <c r="G4" s="3" t="s">
        <v>317</v>
      </c>
      <c r="H4" s="4" t="s">
        <v>569</v>
      </c>
      <c r="I4" s="4" t="s">
        <v>552</v>
      </c>
    </row>
    <row r="5" spans="1:9" ht="12.75">
      <c r="A5" s="11"/>
      <c r="B5" s="4" t="s">
        <v>281</v>
      </c>
      <c r="C5" s="4" t="s">
        <v>281</v>
      </c>
      <c r="D5" s="4" t="s">
        <v>363</v>
      </c>
      <c r="E5" s="3" t="s">
        <v>390</v>
      </c>
      <c r="F5" s="4" t="s">
        <v>307</v>
      </c>
      <c r="G5" s="3" t="s">
        <v>450</v>
      </c>
      <c r="H5" s="4" t="s">
        <v>509</v>
      </c>
      <c r="I5" s="4" t="s">
        <v>284</v>
      </c>
    </row>
    <row r="6" spans="1:9" ht="12.75">
      <c r="A6" s="11"/>
      <c r="B6" s="4" t="s">
        <v>331</v>
      </c>
      <c r="C6" s="4" t="s">
        <v>386</v>
      </c>
      <c r="D6" s="4" t="s">
        <v>331</v>
      </c>
      <c r="E6" s="3" t="s">
        <v>383</v>
      </c>
      <c r="F6" s="4" t="s">
        <v>540</v>
      </c>
      <c r="G6" s="3" t="s">
        <v>8</v>
      </c>
      <c r="H6" s="4"/>
      <c r="I6" s="4"/>
    </row>
    <row r="7" spans="6:9" ht="12.75">
      <c r="F7" s="5"/>
      <c r="H7" s="5"/>
      <c r="I7" s="4"/>
    </row>
    <row r="8" spans="1:9" ht="12.75">
      <c r="A8" s="11" t="s">
        <v>17</v>
      </c>
      <c r="B8" s="5">
        <v>4360.939840000001</v>
      </c>
      <c r="E8" s="2">
        <v>4500</v>
      </c>
      <c r="F8" s="5"/>
      <c r="H8" s="5">
        <v>4112.5</v>
      </c>
      <c r="I8" s="4">
        <f>SUM(B8:H8)</f>
        <v>12973.439840000001</v>
      </c>
    </row>
    <row r="9" spans="1:9" ht="12.75">
      <c r="A9" s="11" t="s">
        <v>20</v>
      </c>
      <c r="B9" s="5">
        <v>10317.459600000002</v>
      </c>
      <c r="E9" s="2">
        <v>4250</v>
      </c>
      <c r="F9" s="5"/>
      <c r="H9" s="5">
        <v>7354</v>
      </c>
      <c r="I9" s="4">
        <f>SUM(B9:H9)</f>
        <v>21921.459600000002</v>
      </c>
    </row>
    <row r="10" spans="1:9" ht="12.75">
      <c r="A10" s="11"/>
      <c r="B10" s="5"/>
      <c r="E10" s="2"/>
      <c r="F10" s="5"/>
      <c r="H10" s="5"/>
      <c r="I10" s="4"/>
    </row>
    <row r="11" spans="1:9" ht="12.75">
      <c r="A11" s="11" t="s">
        <v>18</v>
      </c>
      <c r="B11" s="5">
        <f>SUM(B8:B10)/2</f>
        <v>7339.199720000001</v>
      </c>
      <c r="E11" s="2">
        <f>SUM(E8:E10)/2</f>
        <v>4375</v>
      </c>
      <c r="F11" s="5"/>
      <c r="H11" s="5">
        <f>SUM(H8:H10)/2</f>
        <v>5733.25</v>
      </c>
      <c r="I11" s="4">
        <f>SUM(I8:I10)/2</f>
        <v>17447.44972</v>
      </c>
    </row>
    <row r="12" spans="1:9" ht="12.75">
      <c r="A12" s="11"/>
      <c r="B12" s="5"/>
      <c r="E12" s="2"/>
      <c r="F12" s="5"/>
      <c r="H12" s="5"/>
      <c r="I12" s="4"/>
    </row>
    <row r="13" spans="1:9" ht="12.75">
      <c r="A13" s="11" t="s">
        <v>23</v>
      </c>
      <c r="B13" s="5">
        <v>3743.296</v>
      </c>
      <c r="E13" s="2">
        <v>4000</v>
      </c>
      <c r="F13" s="5"/>
      <c r="G13" s="2">
        <v>1800</v>
      </c>
      <c r="H13" s="5">
        <v>9745.8</v>
      </c>
      <c r="I13" s="4">
        <f>SUM(B13:H13)</f>
        <v>19289.095999999998</v>
      </c>
    </row>
    <row r="14" spans="1:9" ht="12.75">
      <c r="A14" s="11" t="s">
        <v>26</v>
      </c>
      <c r="B14" s="5">
        <v>2770.03904</v>
      </c>
      <c r="E14" s="2">
        <v>3750</v>
      </c>
      <c r="F14" s="5"/>
      <c r="G14" s="2">
        <v>3523</v>
      </c>
      <c r="H14" s="5">
        <v>12751</v>
      </c>
      <c r="I14" s="4">
        <f>SUM(B14:H14)</f>
        <v>22794.03904</v>
      </c>
    </row>
    <row r="15" spans="1:9" ht="12.75">
      <c r="A15" s="11"/>
      <c r="B15" s="5"/>
      <c r="E15" s="2"/>
      <c r="F15" s="5"/>
      <c r="G15" s="2"/>
      <c r="H15" s="5"/>
      <c r="I15" s="4"/>
    </row>
    <row r="16" spans="1:9" ht="12.75">
      <c r="A16" s="11" t="s">
        <v>24</v>
      </c>
      <c r="B16" s="5">
        <f>SUM(B13:B15)/2</f>
        <v>3256.66752</v>
      </c>
      <c r="E16" s="2">
        <f>SUM(E13:E15)/2</f>
        <v>3875</v>
      </c>
      <c r="F16" s="5"/>
      <c r="G16" s="2">
        <f>SUM(G13:G15)/2</f>
        <v>2661.5</v>
      </c>
      <c r="H16" s="5">
        <f>SUM(H13:H15)/2</f>
        <v>11248.4</v>
      </c>
      <c r="I16" s="4">
        <f>SUM(I13:I15)/2</f>
        <v>21041.567519999997</v>
      </c>
    </row>
    <row r="17" spans="1:9" ht="12.75">
      <c r="A17" s="11"/>
      <c r="B17" s="5"/>
      <c r="E17" s="2"/>
      <c r="F17" s="5"/>
      <c r="G17" s="2"/>
      <c r="H17" s="5"/>
      <c r="I17" s="4"/>
    </row>
    <row r="18" spans="1:9" ht="12.75">
      <c r="A18" s="11" t="s">
        <v>31</v>
      </c>
      <c r="B18" s="5">
        <v>3757.3333599999996</v>
      </c>
      <c r="E18" s="2">
        <v>3500</v>
      </c>
      <c r="F18" s="5">
        <v>1957.1246072463052</v>
      </c>
      <c r="G18" s="2">
        <v>3523</v>
      </c>
      <c r="H18" s="5">
        <v>12422.75</v>
      </c>
      <c r="I18" s="4">
        <f>SUM(B18:H18)</f>
        <v>25160.207967246304</v>
      </c>
    </row>
    <row r="19" spans="1:9" ht="12.75">
      <c r="A19" s="11" t="s">
        <v>33</v>
      </c>
      <c r="B19" s="5">
        <v>4641.68704</v>
      </c>
      <c r="E19" s="2">
        <v>3250</v>
      </c>
      <c r="F19" s="5">
        <v>1957.124607246305</v>
      </c>
      <c r="G19" s="2">
        <v>3795.86</v>
      </c>
      <c r="H19" s="5">
        <v>12094.5</v>
      </c>
      <c r="I19" s="4">
        <f>SUM(B19:H19)</f>
        <v>25739.171647246305</v>
      </c>
    </row>
    <row r="20" spans="1:9" ht="12.75">
      <c r="A20" s="11"/>
      <c r="B20" s="5"/>
      <c r="E20" s="2"/>
      <c r="F20" s="5"/>
      <c r="G20" s="2"/>
      <c r="H20" s="5"/>
      <c r="I20" s="4"/>
    </row>
    <row r="21" spans="1:9" ht="12.75">
      <c r="A21" s="11" t="s">
        <v>30</v>
      </c>
      <c r="B21" s="5">
        <f>SUM(B18:B20)/2</f>
        <v>4199.5102</v>
      </c>
      <c r="E21" s="2">
        <f>SUM(E18:E20)/2</f>
        <v>3375</v>
      </c>
      <c r="F21" s="5">
        <v>1957.124607246305</v>
      </c>
      <c r="G21" s="2">
        <f>SUM(G18:G20)/2</f>
        <v>3659.4300000000003</v>
      </c>
      <c r="H21" s="5">
        <f>SUM(H18:H20)/2</f>
        <v>12258.625</v>
      </c>
      <c r="I21" s="4">
        <f>SUM(I18:I20)/2</f>
        <v>25449.689807246305</v>
      </c>
    </row>
    <row r="22" spans="1:9" ht="12.75">
      <c r="A22" s="11"/>
      <c r="B22" s="5"/>
      <c r="E22" s="2"/>
      <c r="F22" s="5"/>
      <c r="G22" s="2"/>
      <c r="H22" s="5"/>
      <c r="I22" s="4"/>
    </row>
    <row r="23" spans="1:9" ht="12.75">
      <c r="A23" s="11" t="s">
        <v>36</v>
      </c>
      <c r="B23" s="5">
        <v>8979.23128</v>
      </c>
      <c r="E23" s="2">
        <v>3000</v>
      </c>
      <c r="F23" s="5">
        <v>2870.466963277529</v>
      </c>
      <c r="G23" s="2">
        <v>4068.7</v>
      </c>
      <c r="H23" s="5">
        <v>11766.25</v>
      </c>
      <c r="I23" s="4">
        <f>SUM(B23:H23)</f>
        <v>30684.64824327753</v>
      </c>
    </row>
    <row r="24" spans="1:9" ht="12.75">
      <c r="A24" s="11" t="s">
        <v>40</v>
      </c>
      <c r="B24" s="5">
        <v>7416.405199999999</v>
      </c>
      <c r="C24" s="5">
        <v>4626.18979456</v>
      </c>
      <c r="D24" s="5"/>
      <c r="E24" s="2">
        <v>2750</v>
      </c>
      <c r="F24" s="5">
        <v>3990.755712111541</v>
      </c>
      <c r="G24" s="2">
        <v>4341.57</v>
      </c>
      <c r="H24" s="5">
        <v>11438</v>
      </c>
      <c r="I24" s="4">
        <f>SUM(B24:H24)</f>
        <v>34562.920706671546</v>
      </c>
    </row>
    <row r="25" spans="1:9" ht="12.75">
      <c r="A25" s="11"/>
      <c r="B25" s="5"/>
      <c r="C25" s="5"/>
      <c r="D25" s="5"/>
      <c r="E25" s="2"/>
      <c r="F25" s="5"/>
      <c r="G25" s="2"/>
      <c r="H25" s="5"/>
      <c r="I25" s="4"/>
    </row>
    <row r="26" spans="1:10" ht="12.75">
      <c r="A26" s="11" t="s">
        <v>37</v>
      </c>
      <c r="B26" s="5">
        <f>SUM(B23:B25)/2</f>
        <v>8197.81824</v>
      </c>
      <c r="C26" s="5">
        <f>4626.19/2</f>
        <v>2313.095</v>
      </c>
      <c r="D26" s="5"/>
      <c r="E26" s="2">
        <f>SUM(E23:E25)/2</f>
        <v>2875</v>
      </c>
      <c r="F26" s="5">
        <f>SUM(F23:F25)/2</f>
        <v>3430.611337694535</v>
      </c>
      <c r="G26" s="2">
        <f>SUM(G23:G25)/2</f>
        <v>4205.135</v>
      </c>
      <c r="H26" s="5">
        <f>SUM(H23:H25)/2</f>
        <v>11602.125</v>
      </c>
      <c r="I26" s="4">
        <f>SUM(I23:I25)/2</f>
        <v>32623.784474974538</v>
      </c>
      <c r="J26">
        <f>SUM(B26:H26)</f>
        <v>32623.784577694532</v>
      </c>
    </row>
    <row r="27" spans="1:9" ht="12.75">
      <c r="A27" s="11"/>
      <c r="B27" s="5"/>
      <c r="C27" s="5"/>
      <c r="D27" s="5"/>
      <c r="E27" s="2"/>
      <c r="F27" s="5"/>
      <c r="G27" s="2"/>
      <c r="H27" s="5"/>
      <c r="I27" s="4"/>
    </row>
    <row r="28" spans="1:9" ht="12.75">
      <c r="A28" s="11" t="s">
        <v>43</v>
      </c>
      <c r="B28" s="5">
        <v>6925.097599999999</v>
      </c>
      <c r="C28" s="5">
        <v>5713.417250180001</v>
      </c>
      <c r="D28" s="5"/>
      <c r="E28" s="2">
        <v>2500</v>
      </c>
      <c r="F28" s="5">
        <v>3632.1117727919873</v>
      </c>
      <c r="G28" s="2">
        <v>4614.43</v>
      </c>
      <c r="H28" s="5">
        <v>11109.75</v>
      </c>
      <c r="I28" s="4">
        <f>SUM(B28:H28)</f>
        <v>34494.806622971984</v>
      </c>
    </row>
    <row r="29" spans="1:9" ht="12.75">
      <c r="A29" s="11" t="s">
        <v>46</v>
      </c>
      <c r="B29" s="5">
        <v>5189.14408</v>
      </c>
      <c r="C29" s="5">
        <v>6079.43088416</v>
      </c>
      <c r="D29" s="5">
        <v>3969.9973207439994</v>
      </c>
      <c r="E29" s="2">
        <v>2250</v>
      </c>
      <c r="F29" s="5">
        <v>1983.065256026314</v>
      </c>
      <c r="G29" s="2">
        <v>4887.29</v>
      </c>
      <c r="H29" s="5">
        <v>10781.5</v>
      </c>
      <c r="I29" s="4">
        <f>SUM(B29:H29)</f>
        <v>35140.427540930315</v>
      </c>
    </row>
    <row r="30" spans="1:9" ht="12.75">
      <c r="A30" s="11"/>
      <c r="B30" s="5"/>
      <c r="C30" s="5"/>
      <c r="D30" s="5"/>
      <c r="E30" s="2"/>
      <c r="F30" s="5"/>
      <c r="G30" s="2"/>
      <c r="H30" s="5"/>
      <c r="I30" s="4"/>
    </row>
    <row r="31" spans="1:9" ht="12.75">
      <c r="A31" s="11" t="s">
        <v>44</v>
      </c>
      <c r="B31" s="5">
        <f>SUM(B28:B30)/2</f>
        <v>6057.12084</v>
      </c>
      <c r="C31" s="5">
        <f>SUM(C28:C30)/2</f>
        <v>5896.424067170001</v>
      </c>
      <c r="D31" s="5">
        <f>SUM(D29:D30)/2</f>
        <v>1984.9986603719997</v>
      </c>
      <c r="E31" s="2">
        <f>SUM(E28:E30)/2</f>
        <v>2375</v>
      </c>
      <c r="F31" s="5">
        <f>SUM(F28:F30)/2</f>
        <v>2807.588514409151</v>
      </c>
      <c r="G31" s="2">
        <f>SUM(G28:G30)/2</f>
        <v>4750.860000000001</v>
      </c>
      <c r="H31" s="5">
        <f>SUM(H28:H30)/2</f>
        <v>10945.625</v>
      </c>
      <c r="I31" s="4">
        <f>SUM(I28:I30)/2</f>
        <v>34817.617081951146</v>
      </c>
    </row>
    <row r="32" spans="1:9" ht="12.75">
      <c r="A32" s="11"/>
      <c r="B32" s="5"/>
      <c r="C32" s="5"/>
      <c r="D32" s="5"/>
      <c r="E32" s="2"/>
      <c r="F32" s="5"/>
      <c r="G32" s="2"/>
      <c r="H32" s="5"/>
      <c r="I32" s="4"/>
    </row>
    <row r="33" spans="1:9" ht="12.75">
      <c r="A33" s="11" t="s">
        <v>50</v>
      </c>
      <c r="B33" s="5">
        <v>3701.1839199999995</v>
      </c>
      <c r="C33" s="5">
        <v>6301.72651712</v>
      </c>
      <c r="D33" s="5">
        <v>9703.235990448</v>
      </c>
      <c r="E33" s="2">
        <v>2000</v>
      </c>
      <c r="F33" s="5">
        <v>2486.461172615248</v>
      </c>
      <c r="G33" s="2">
        <v>5160.14</v>
      </c>
      <c r="H33" s="5">
        <v>10453.25</v>
      </c>
      <c r="I33" s="4">
        <f>SUM(B33:H33)</f>
        <v>39805.99760018324</v>
      </c>
    </row>
    <row r="34" spans="1:9" ht="12.75">
      <c r="A34" s="11" t="s">
        <v>53</v>
      </c>
      <c r="B34" s="5">
        <v>3425.11584</v>
      </c>
      <c r="C34" s="5">
        <v>7889.1554100799995</v>
      </c>
      <c r="D34" s="5">
        <v>13795.323554376</v>
      </c>
      <c r="E34" s="2">
        <v>2000</v>
      </c>
      <c r="F34" s="5">
        <v>2269.149043890225</v>
      </c>
      <c r="G34" s="2">
        <v>5433</v>
      </c>
      <c r="H34" s="5">
        <v>10125</v>
      </c>
      <c r="I34" s="4">
        <f>SUM(B34:H34)</f>
        <v>44936.743848346225</v>
      </c>
    </row>
    <row r="35" spans="1:9" ht="12.75">
      <c r="A35" s="11"/>
      <c r="B35" s="5"/>
      <c r="C35" s="5"/>
      <c r="D35" s="5"/>
      <c r="E35" s="2"/>
      <c r="F35" s="5"/>
      <c r="G35" s="2"/>
      <c r="H35" s="5"/>
      <c r="I35" s="4"/>
    </row>
    <row r="36" spans="1:9" ht="12.75">
      <c r="A36" s="11" t="s">
        <v>51</v>
      </c>
      <c r="B36" s="5">
        <f aca="true" t="shared" si="0" ref="B36:I36">SUM(B33:B35)/2</f>
        <v>3563.14988</v>
      </c>
      <c r="C36" s="5">
        <f t="shared" si="0"/>
        <v>7095.4409636</v>
      </c>
      <c r="D36" s="5">
        <f t="shared" si="0"/>
        <v>11749.279772412</v>
      </c>
      <c r="E36" s="2">
        <f t="shared" si="0"/>
        <v>2000</v>
      </c>
      <c r="F36" s="5">
        <f t="shared" si="0"/>
        <v>2377.8051082527363</v>
      </c>
      <c r="G36" s="2">
        <f t="shared" si="0"/>
        <v>5296.57</v>
      </c>
      <c r="H36" s="5">
        <f t="shared" si="0"/>
        <v>10289.125</v>
      </c>
      <c r="I36" s="4">
        <f t="shared" si="0"/>
        <v>42371.370724264736</v>
      </c>
    </row>
    <row r="37" spans="1:9" ht="12.75">
      <c r="A37" s="11"/>
      <c r="B37" s="5"/>
      <c r="C37" s="5"/>
      <c r="D37" s="5"/>
      <c r="E37" s="2"/>
      <c r="F37" s="5"/>
      <c r="G37" s="2"/>
      <c r="H37" s="5"/>
      <c r="I37" s="4"/>
    </row>
    <row r="38" spans="1:9" ht="12.75">
      <c r="A38" s="11" t="s">
        <v>56</v>
      </c>
      <c r="B38" s="5">
        <v>6663.06688</v>
      </c>
      <c r="C38" s="5">
        <v>6300.9</v>
      </c>
      <c r="D38" s="5">
        <v>16554.809006736</v>
      </c>
      <c r="E38" s="2">
        <v>2000</v>
      </c>
      <c r="F38" s="5">
        <v>2269.149043890225</v>
      </c>
      <c r="G38" s="2">
        <v>5433</v>
      </c>
      <c r="H38" s="5">
        <v>10125</v>
      </c>
      <c r="I38" s="4">
        <f>SUM(B38:H38)</f>
        <v>49345.92493062622</v>
      </c>
    </row>
    <row r="39" spans="1:9" ht="12.75">
      <c r="A39" s="11" t="s">
        <v>60</v>
      </c>
      <c r="B39" s="5">
        <v>14973.184</v>
      </c>
      <c r="C39" s="5">
        <v>5734.066098</v>
      </c>
      <c r="D39" s="5">
        <v>13248.013870728002</v>
      </c>
      <c r="E39" s="2">
        <v>3947</v>
      </c>
      <c r="F39" s="5">
        <v>2243.576720752123</v>
      </c>
      <c r="G39" s="2">
        <v>5433</v>
      </c>
      <c r="H39" s="5">
        <v>10125</v>
      </c>
      <c r="I39" s="4">
        <f>SUM(B39:H39)</f>
        <v>55703.84068948012</v>
      </c>
    </row>
    <row r="40" spans="1:9" ht="12.75">
      <c r="A40" s="11"/>
      <c r="B40" s="5"/>
      <c r="C40" s="5"/>
      <c r="D40" s="5"/>
      <c r="E40" s="2"/>
      <c r="F40" s="5"/>
      <c r="G40" s="2"/>
      <c r="H40" s="5"/>
      <c r="I40" s="4"/>
    </row>
    <row r="41" spans="1:9" ht="12.75">
      <c r="A41" s="11" t="s">
        <v>57</v>
      </c>
      <c r="B41" s="5">
        <f aca="true" t="shared" si="1" ref="B41:I41">SUM(B38:B40)/2</f>
        <v>10818.12544</v>
      </c>
      <c r="C41" s="5">
        <f t="shared" si="1"/>
        <v>6017.483049</v>
      </c>
      <c r="D41" s="5">
        <f t="shared" si="1"/>
        <v>14901.411438732</v>
      </c>
      <c r="E41" s="2">
        <f t="shared" si="1"/>
        <v>2973.5</v>
      </c>
      <c r="F41" s="5">
        <f t="shared" si="1"/>
        <v>2256.362882321174</v>
      </c>
      <c r="G41" s="2">
        <f t="shared" si="1"/>
        <v>5433</v>
      </c>
      <c r="H41" s="5">
        <f t="shared" si="1"/>
        <v>10125</v>
      </c>
      <c r="I41" s="4">
        <f t="shared" si="1"/>
        <v>52524.88281005317</v>
      </c>
    </row>
    <row r="42" spans="1:9" ht="12.75">
      <c r="A42" s="11"/>
      <c r="B42" s="5"/>
      <c r="C42" s="5"/>
      <c r="D42" s="5"/>
      <c r="E42" s="2"/>
      <c r="F42" s="5"/>
      <c r="G42" s="2"/>
      <c r="H42" s="5"/>
      <c r="I42" s="4"/>
    </row>
    <row r="43" spans="1:9" ht="12.75">
      <c r="A43" s="11" t="s">
        <v>63</v>
      </c>
      <c r="B43" s="5">
        <v>7739.26448</v>
      </c>
      <c r="C43" s="5">
        <v>6143.99806104</v>
      </c>
      <c r="D43" s="5">
        <v>10936.849724528</v>
      </c>
      <c r="E43" s="2">
        <v>3997</v>
      </c>
      <c r="F43" s="5">
        <v>2141.550517943934</v>
      </c>
      <c r="G43" s="2">
        <v>5433</v>
      </c>
      <c r="H43" s="5">
        <v>9963.493008394786</v>
      </c>
      <c r="I43" s="4">
        <f>SUM(B43:H43)</f>
        <v>46355.15579190672</v>
      </c>
    </row>
    <row r="44" spans="1:9" ht="12.75">
      <c r="A44" s="11" t="s">
        <v>66</v>
      </c>
      <c r="B44" s="5">
        <v>4131.66296</v>
      </c>
      <c r="C44" s="5">
        <v>6576.1990172000005</v>
      </c>
      <c r="D44" s="5">
        <v>10936.849724528</v>
      </c>
      <c r="E44" s="2">
        <v>700</v>
      </c>
      <c r="F44" s="5">
        <v>2141.550517943934</v>
      </c>
      <c r="G44" s="2">
        <v>5433</v>
      </c>
      <c r="H44" s="5">
        <v>9963.493008394786</v>
      </c>
      <c r="I44" s="4">
        <f>SUM(B44:H44)</f>
        <v>39882.75522806672</v>
      </c>
    </row>
    <row r="46" spans="1:9" ht="12.75">
      <c r="A46" s="11" t="s">
        <v>64</v>
      </c>
      <c r="B46" s="5">
        <f aca="true" t="shared" si="2" ref="B46:I46">SUM(B43:B45)/2</f>
        <v>5935.46372</v>
      </c>
      <c r="C46" s="5">
        <f t="shared" si="2"/>
        <v>6360.09853912</v>
      </c>
      <c r="D46" s="5">
        <f t="shared" si="2"/>
        <v>10936.849724528</v>
      </c>
      <c r="E46" s="2">
        <f t="shared" si="2"/>
        <v>2348.5</v>
      </c>
      <c r="F46" s="5">
        <f t="shared" si="2"/>
        <v>2141.550517943934</v>
      </c>
      <c r="G46" s="2">
        <f t="shared" si="2"/>
        <v>5433</v>
      </c>
      <c r="H46" s="5">
        <f t="shared" si="2"/>
        <v>9963.493008394786</v>
      </c>
      <c r="I46" s="4">
        <f t="shared" si="2"/>
        <v>43118.95550998672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I20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12.140625" style="0" customWidth="1"/>
    <col min="4" max="4" width="13.421875" style="0" customWidth="1"/>
    <col min="5" max="5" width="16.140625" style="0" customWidth="1"/>
    <col min="6" max="6" width="10.8515625" style="0" customWidth="1"/>
    <col min="7" max="7" width="14.00390625" style="0" customWidth="1"/>
    <col min="8" max="8" width="9.7109375" style="0" customWidth="1"/>
    <col min="9" max="9" width="10.421875" style="0" customWidth="1"/>
  </cols>
  <sheetData>
    <row r="1" spans="1:9" ht="12.75">
      <c r="A1" s="11"/>
      <c r="B1" s="1" t="s">
        <v>520</v>
      </c>
      <c r="F1" s="5"/>
      <c r="H1" s="5"/>
      <c r="I1" s="4"/>
    </row>
    <row r="2" spans="1:9" ht="12.75">
      <c r="A2" s="11"/>
      <c r="B2" s="1" t="s">
        <v>16</v>
      </c>
      <c r="F2" s="5"/>
      <c r="H2" s="5"/>
      <c r="I2" s="4"/>
    </row>
    <row r="3" spans="1:9" ht="12.75">
      <c r="A3" s="11"/>
      <c r="B3" s="5"/>
      <c r="F3" s="5"/>
      <c r="H3" s="5"/>
      <c r="I3" s="4"/>
    </row>
    <row r="4" spans="1:9" ht="12.75">
      <c r="A4" s="11" t="s">
        <v>577</v>
      </c>
      <c r="B4" s="4" t="s">
        <v>505</v>
      </c>
      <c r="C4" s="4" t="s">
        <v>537</v>
      </c>
      <c r="D4" s="4" t="s">
        <v>244</v>
      </c>
      <c r="E4" s="4" t="s">
        <v>244</v>
      </c>
      <c r="F4" s="4" t="s">
        <v>524</v>
      </c>
      <c r="G4" s="3" t="s">
        <v>317</v>
      </c>
      <c r="H4" s="4" t="s">
        <v>569</v>
      </c>
      <c r="I4" s="4" t="s">
        <v>552</v>
      </c>
    </row>
    <row r="5" spans="1:9" ht="12.75">
      <c r="A5" s="11"/>
      <c r="B5" s="4" t="s">
        <v>281</v>
      </c>
      <c r="C5" s="4" t="s">
        <v>281</v>
      </c>
      <c r="D5" s="4" t="s">
        <v>363</v>
      </c>
      <c r="E5" s="3" t="s">
        <v>390</v>
      </c>
      <c r="F5" s="4" t="s">
        <v>307</v>
      </c>
      <c r="G5" s="3" t="s">
        <v>450</v>
      </c>
      <c r="H5" s="4" t="s">
        <v>509</v>
      </c>
      <c r="I5" s="4" t="s">
        <v>284</v>
      </c>
    </row>
    <row r="6" spans="1:9" ht="12.75">
      <c r="A6" s="11"/>
      <c r="B6" s="4" t="s">
        <v>331</v>
      </c>
      <c r="C6" s="4" t="s">
        <v>386</v>
      </c>
      <c r="D6" s="4" t="s">
        <v>331</v>
      </c>
      <c r="E6" s="3" t="s">
        <v>383</v>
      </c>
      <c r="F6" s="4" t="s">
        <v>540</v>
      </c>
      <c r="G6" s="3" t="s">
        <v>8</v>
      </c>
      <c r="H6" s="4"/>
      <c r="I6" s="4"/>
    </row>
    <row r="7" spans="6:9" ht="12.75">
      <c r="F7" s="5"/>
      <c r="H7" s="5"/>
      <c r="I7" s="4"/>
    </row>
    <row r="8" spans="1:9" ht="12.75">
      <c r="A8" s="11" t="s">
        <v>18</v>
      </c>
      <c r="B8" s="5">
        <v>7339.199720000001</v>
      </c>
      <c r="E8" s="2">
        <v>4375</v>
      </c>
      <c r="F8" s="5"/>
      <c r="H8" s="5">
        <v>5733.25</v>
      </c>
      <c r="I8" s="4">
        <v>17447.44972</v>
      </c>
    </row>
    <row r="10" spans="1:9" ht="12.75">
      <c r="A10" s="11" t="s">
        <v>24</v>
      </c>
      <c r="B10" s="5">
        <v>3256.66752</v>
      </c>
      <c r="E10" s="2">
        <v>3875</v>
      </c>
      <c r="F10" s="5"/>
      <c r="G10" s="2">
        <v>2661.5</v>
      </c>
      <c r="H10" s="5">
        <v>11248.4</v>
      </c>
      <c r="I10" s="4">
        <v>21041.567519999997</v>
      </c>
    </row>
    <row r="12" spans="1:9" ht="12.75">
      <c r="A12" s="11" t="s">
        <v>30</v>
      </c>
      <c r="B12" s="5">
        <v>4199.5102</v>
      </c>
      <c r="E12" s="2">
        <v>3375</v>
      </c>
      <c r="F12" s="5">
        <v>1957.124607246305</v>
      </c>
      <c r="G12" s="2">
        <v>3659.43</v>
      </c>
      <c r="H12" s="5">
        <v>12258.625</v>
      </c>
      <c r="I12" s="4">
        <v>25449.689807246305</v>
      </c>
    </row>
    <row r="14" spans="1:9" ht="12.75">
      <c r="A14" s="11" t="s">
        <v>37</v>
      </c>
      <c r="B14" s="5">
        <v>8197.81824</v>
      </c>
      <c r="C14" s="5">
        <f>4626.19/2</f>
        <v>2313.095</v>
      </c>
      <c r="D14" s="5"/>
      <c r="E14" s="2">
        <v>2875</v>
      </c>
      <c r="F14" s="5">
        <v>3430.611337694535</v>
      </c>
      <c r="G14" s="2">
        <v>4205.135</v>
      </c>
      <c r="H14" s="5">
        <v>11602.125</v>
      </c>
      <c r="I14" s="4">
        <v>32623.784474974535</v>
      </c>
    </row>
    <row r="16" spans="1:9" ht="12.75">
      <c r="A16" s="11" t="s">
        <v>44</v>
      </c>
      <c r="B16" s="5">
        <v>6057.12084</v>
      </c>
      <c r="C16" s="5">
        <v>5896.424067170001</v>
      </c>
      <c r="D16" s="5">
        <v>1984.9986603719997</v>
      </c>
      <c r="E16" s="2">
        <v>2375</v>
      </c>
      <c r="F16" s="5">
        <v>2807.588514409151</v>
      </c>
      <c r="G16" s="2">
        <v>4750.860000000001</v>
      </c>
      <c r="H16" s="5">
        <v>10945.625</v>
      </c>
      <c r="I16" s="4">
        <v>34817.617081951146</v>
      </c>
    </row>
    <row r="18" spans="1:9" ht="12.75">
      <c r="A18" s="11" t="s">
        <v>51</v>
      </c>
      <c r="B18" s="5">
        <v>3563.14988</v>
      </c>
      <c r="C18" s="5">
        <v>7095.4409636</v>
      </c>
      <c r="D18" s="5">
        <v>11749.279772412</v>
      </c>
      <c r="E18" s="2">
        <v>2000</v>
      </c>
      <c r="F18" s="5">
        <v>2377.8051082527363</v>
      </c>
      <c r="G18" s="2">
        <v>5296.57</v>
      </c>
      <c r="H18" s="5">
        <v>10289.125</v>
      </c>
      <c r="I18" s="4">
        <v>42371.370724264736</v>
      </c>
    </row>
    <row r="20" spans="1:9" ht="12.75">
      <c r="A20" s="11" t="s">
        <v>57</v>
      </c>
      <c r="B20" s="5">
        <v>10818.12544</v>
      </c>
      <c r="C20" s="5">
        <v>6017.483049</v>
      </c>
      <c r="D20" s="5">
        <v>14901.411438732</v>
      </c>
      <c r="E20" s="2">
        <v>2973.5</v>
      </c>
      <c r="F20" s="5">
        <v>2256.362882321174</v>
      </c>
      <c r="G20" s="2">
        <v>5433</v>
      </c>
      <c r="H20" s="5">
        <v>10125</v>
      </c>
      <c r="I20" s="4">
        <v>52524.88281005317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J2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6.57421875" style="1" customWidth="1"/>
    <col min="2" max="2" width="12.7109375" style="2" customWidth="1"/>
    <col min="3" max="3" width="10.7109375" style="2" customWidth="1"/>
    <col min="4" max="4" width="8.28125" style="2" customWidth="1"/>
    <col min="5" max="5" width="11.8515625" style="2" customWidth="1"/>
    <col min="6" max="6" width="13.421875" style="2" customWidth="1"/>
    <col min="7" max="9" width="15.421875" style="2" customWidth="1"/>
    <col min="10" max="10" width="8.421875" style="3" customWidth="1"/>
  </cols>
  <sheetData>
    <row r="1" spans="2:3" ht="12.75">
      <c r="B1" s="3" t="s">
        <v>468</v>
      </c>
      <c r="C1" s="3"/>
    </row>
    <row r="2" spans="2:3" ht="12.75">
      <c r="B2" s="3"/>
      <c r="C2" s="3" t="s">
        <v>305</v>
      </c>
    </row>
    <row r="3" spans="2:3" ht="12.75">
      <c r="B3" s="3"/>
      <c r="C3" s="3"/>
    </row>
    <row r="4" spans="1:10" ht="12.75">
      <c r="A4" s="1" t="s">
        <v>577</v>
      </c>
      <c r="B4" s="3" t="s">
        <v>506</v>
      </c>
      <c r="C4" s="3" t="s">
        <v>538</v>
      </c>
      <c r="D4" s="3" t="s">
        <v>543</v>
      </c>
      <c r="E4" s="3" t="s">
        <v>243</v>
      </c>
      <c r="F4" s="3" t="s">
        <v>243</v>
      </c>
      <c r="G4" s="3" t="s">
        <v>523</v>
      </c>
      <c r="H4" s="3" t="s">
        <v>523</v>
      </c>
      <c r="I4" s="3" t="s">
        <v>523</v>
      </c>
      <c r="J4" s="3" t="s">
        <v>566</v>
      </c>
    </row>
    <row r="5" spans="2:10" ht="12.75">
      <c r="B5" s="3" t="s">
        <v>508</v>
      </c>
      <c r="C5" s="3" t="s">
        <v>275</v>
      </c>
      <c r="D5" s="3" t="s">
        <v>509</v>
      </c>
      <c r="E5" s="3" t="s">
        <v>390</v>
      </c>
      <c r="F5" s="3" t="s">
        <v>362</v>
      </c>
      <c r="G5" s="3" t="s">
        <v>541</v>
      </c>
      <c r="H5" s="3" t="s">
        <v>541</v>
      </c>
      <c r="I5" s="3" t="s">
        <v>541</v>
      </c>
      <c r="J5" s="3" t="s">
        <v>279</v>
      </c>
    </row>
    <row r="6" spans="2:9" ht="12.75">
      <c r="B6" s="3" t="s">
        <v>209</v>
      </c>
      <c r="C6" s="3" t="s">
        <v>316</v>
      </c>
      <c r="D6" s="3"/>
      <c r="E6" s="3"/>
      <c r="F6" s="3"/>
      <c r="G6" s="3" t="s">
        <v>252</v>
      </c>
      <c r="H6" s="3" t="s">
        <v>252</v>
      </c>
      <c r="I6" s="3" t="s">
        <v>252</v>
      </c>
    </row>
    <row r="7" spans="2:9" ht="12.75">
      <c r="B7" s="3" t="s">
        <v>407</v>
      </c>
      <c r="C7" s="3"/>
      <c r="D7" s="3"/>
      <c r="E7" s="3"/>
      <c r="F7" s="3"/>
      <c r="G7" s="3"/>
      <c r="H7" s="3"/>
      <c r="I7" s="3"/>
    </row>
    <row r="8" spans="2:9" ht="12.75">
      <c r="B8" s="3" t="s">
        <v>384</v>
      </c>
      <c r="C8" s="3" t="s">
        <v>384</v>
      </c>
      <c r="D8" s="3" t="s">
        <v>384</v>
      </c>
      <c r="E8" s="3" t="s">
        <v>384</v>
      </c>
      <c r="F8" s="3" t="s">
        <v>384</v>
      </c>
      <c r="G8" s="3" t="s">
        <v>384</v>
      </c>
      <c r="H8" s="3" t="s">
        <v>536</v>
      </c>
      <c r="I8" s="3" t="s">
        <v>280</v>
      </c>
    </row>
    <row r="10" spans="1:10" ht="12.75">
      <c r="A10" s="1" t="s">
        <v>9</v>
      </c>
      <c r="B10" s="2">
        <v>3743.3</v>
      </c>
      <c r="D10" s="2">
        <v>4112.5</v>
      </c>
      <c r="E10" s="2">
        <v>4500</v>
      </c>
      <c r="J10" s="3">
        <f aca="true" t="shared" si="0" ref="J10:J25">SUM(A10:F10)+I10</f>
        <v>12355.8</v>
      </c>
    </row>
    <row r="11" spans="1:10" ht="12.75">
      <c r="A11" s="1" t="s">
        <v>19</v>
      </c>
      <c r="B11" s="2">
        <v>8633</v>
      </c>
      <c r="D11" s="2">
        <v>7354</v>
      </c>
      <c r="J11" s="3">
        <f t="shared" si="0"/>
        <v>15987</v>
      </c>
    </row>
    <row r="12" spans="1:10" ht="12.75">
      <c r="A12" s="1" t="s">
        <v>21</v>
      </c>
      <c r="B12" s="2">
        <v>5764.7</v>
      </c>
      <c r="D12" s="2">
        <v>9745.8</v>
      </c>
      <c r="J12" s="3">
        <f t="shared" si="0"/>
        <v>15510.5</v>
      </c>
    </row>
    <row r="13" spans="1:10" ht="12.75">
      <c r="A13" s="1" t="s">
        <v>25</v>
      </c>
      <c r="B13" s="2">
        <v>2601.6</v>
      </c>
      <c r="D13" s="2">
        <v>12751</v>
      </c>
      <c r="J13" s="3">
        <f t="shared" si="0"/>
        <v>15352.6</v>
      </c>
    </row>
    <row r="14" spans="1:10" ht="12.75">
      <c r="A14" s="1" t="s">
        <v>28</v>
      </c>
      <c r="B14" s="2">
        <v>3233.6</v>
      </c>
      <c r="J14" s="3">
        <f t="shared" si="0"/>
        <v>3233.6</v>
      </c>
    </row>
    <row r="15" spans="1:10" ht="12.75">
      <c r="A15" s="1" t="s">
        <v>32</v>
      </c>
      <c r="B15" s="2">
        <v>4641.7</v>
      </c>
      <c r="G15" s="2">
        <v>2734.3</v>
      </c>
      <c r="H15" s="2">
        <v>7439</v>
      </c>
      <c r="J15" s="3">
        <f t="shared" si="0"/>
        <v>4641.7</v>
      </c>
    </row>
    <row r="16" spans="1:10" ht="12.75">
      <c r="A16" s="1" t="s">
        <v>34</v>
      </c>
      <c r="B16" s="2">
        <v>8099.6</v>
      </c>
      <c r="G16" s="2">
        <v>2734.3</v>
      </c>
      <c r="H16" s="2">
        <v>9175</v>
      </c>
      <c r="J16" s="3">
        <f t="shared" si="0"/>
        <v>8099.6</v>
      </c>
    </row>
    <row r="17" spans="1:10" ht="12.75">
      <c r="A17" s="1" t="s">
        <v>39</v>
      </c>
      <c r="B17" s="2">
        <v>7725.2</v>
      </c>
      <c r="C17" s="2">
        <v>4509</v>
      </c>
      <c r="G17" s="2">
        <v>2734.3</v>
      </c>
      <c r="H17" s="2">
        <v>14936</v>
      </c>
      <c r="I17" s="2">
        <f aca="true" t="shared" si="1" ref="I17:I24">($G$27/$H$27)*H17</f>
        <v>3929.508419657323</v>
      </c>
      <c r="J17" s="3">
        <f t="shared" si="0"/>
        <v>16163.708419657323</v>
      </c>
    </row>
    <row r="18" spans="1:10" ht="12.75">
      <c r="A18" s="1" t="s">
        <v>41</v>
      </c>
      <c r="B18" s="2">
        <v>7589.5</v>
      </c>
      <c r="C18" s="2">
        <v>5441.8</v>
      </c>
      <c r="G18" s="2">
        <v>2734.3</v>
      </c>
      <c r="H18" s="2">
        <v>14964</v>
      </c>
      <c r="I18" s="2">
        <f t="shared" si="1"/>
        <v>3936.8749324954592</v>
      </c>
      <c r="J18" s="3">
        <f t="shared" si="0"/>
        <v>16968.174932495458</v>
      </c>
    </row>
    <row r="19" spans="1:10" ht="12.75">
      <c r="A19" s="1" t="s">
        <v>45</v>
      </c>
      <c r="B19" s="2">
        <v>5170.4</v>
      </c>
      <c r="C19" s="2">
        <v>5905.7</v>
      </c>
      <c r="F19" s="2">
        <v>2172.2</v>
      </c>
      <c r="G19" s="2">
        <v>2734.3</v>
      </c>
      <c r="H19" s="2">
        <v>7945</v>
      </c>
      <c r="I19" s="2">
        <f t="shared" si="1"/>
        <v>2090.248017821199</v>
      </c>
      <c r="J19" s="3">
        <f t="shared" si="0"/>
        <v>15338.548017821198</v>
      </c>
    </row>
    <row r="20" spans="1:10" ht="12.75">
      <c r="A20" s="1" t="s">
        <v>48</v>
      </c>
      <c r="B20" s="2">
        <v>3860.3</v>
      </c>
      <c r="C20" s="2">
        <v>6010</v>
      </c>
      <c r="F20" s="2">
        <v>9627.8</v>
      </c>
      <c r="G20" s="2">
        <v>2734</v>
      </c>
      <c r="H20" s="2">
        <v>9451</v>
      </c>
      <c r="I20" s="2">
        <f t="shared" si="1"/>
        <v>2486.461172615249</v>
      </c>
      <c r="J20" s="3">
        <f t="shared" si="0"/>
        <v>21984.56117261525</v>
      </c>
    </row>
    <row r="21" spans="1:10" ht="12.75">
      <c r="A21" s="1" t="s">
        <v>52</v>
      </c>
      <c r="B21" s="2">
        <v>3359.6</v>
      </c>
      <c r="C21" s="2">
        <v>7821.8</v>
      </c>
      <c r="D21" s="2">
        <v>10125</v>
      </c>
      <c r="E21" s="2">
        <v>2000</v>
      </c>
      <c r="F21" s="2">
        <v>13223.2</v>
      </c>
      <c r="G21" s="2">
        <v>2004.5</v>
      </c>
      <c r="H21" s="2">
        <v>8790</v>
      </c>
      <c r="I21" s="2">
        <f t="shared" si="1"/>
        <v>2312.5588516863863</v>
      </c>
      <c r="J21" s="3">
        <f t="shared" si="0"/>
        <v>38842.15885168639</v>
      </c>
    </row>
    <row r="22" spans="1:10" ht="12.75">
      <c r="A22" s="1" t="s">
        <v>54</v>
      </c>
      <c r="B22" s="2">
        <v>4922.4</v>
      </c>
      <c r="C22" s="2">
        <v>6673.9</v>
      </c>
      <c r="D22" s="2">
        <v>10125</v>
      </c>
      <c r="E22" s="2">
        <v>2000</v>
      </c>
      <c r="F22" s="2">
        <v>16275.4</v>
      </c>
      <c r="G22" s="2">
        <v>1970.2</v>
      </c>
      <c r="H22" s="2">
        <v>8625</v>
      </c>
      <c r="I22" s="2">
        <f t="shared" si="1"/>
        <v>2269.1490438902256</v>
      </c>
      <c r="J22" s="3">
        <f t="shared" si="0"/>
        <v>42265.84904389022</v>
      </c>
    </row>
    <row r="23" spans="1:10" ht="12.75">
      <c r="A23" s="1" t="s">
        <v>59</v>
      </c>
      <c r="B23" s="2">
        <v>14336.8</v>
      </c>
      <c r="C23" s="2">
        <v>5709.5</v>
      </c>
      <c r="E23" s="2">
        <v>600</v>
      </c>
      <c r="F23" s="2">
        <v>13217.9</v>
      </c>
      <c r="G23" s="2">
        <v>1970.2</v>
      </c>
      <c r="H23" s="2">
        <v>8577</v>
      </c>
      <c r="I23" s="2">
        <f t="shared" si="1"/>
        <v>2256.520736167706</v>
      </c>
      <c r="J23" s="3">
        <f t="shared" si="0"/>
        <v>36120.72073616771</v>
      </c>
    </row>
    <row r="24" spans="1:10" ht="12.75">
      <c r="A24" s="1" t="s">
        <v>61</v>
      </c>
      <c r="B24" s="2">
        <v>9330.2</v>
      </c>
      <c r="C24" s="2">
        <v>4381.9</v>
      </c>
      <c r="E24" s="2">
        <v>650</v>
      </c>
      <c r="F24" s="2">
        <v>11537.2</v>
      </c>
      <c r="G24" s="2">
        <v>1819.4</v>
      </c>
      <c r="H24" s="2">
        <v>8188</v>
      </c>
      <c r="I24" s="2">
        <f t="shared" si="1"/>
        <v>2154.178825666454</v>
      </c>
      <c r="J24" s="3">
        <f t="shared" si="0"/>
        <v>28053.478825666458</v>
      </c>
    </row>
    <row r="25" spans="1:10" ht="12.75">
      <c r="A25" s="1" t="s">
        <v>65</v>
      </c>
      <c r="B25" s="2">
        <v>6071.1</v>
      </c>
      <c r="C25" s="2">
        <v>6957.3</v>
      </c>
      <c r="E25" s="2">
        <v>700</v>
      </c>
      <c r="J25" s="3">
        <f t="shared" si="0"/>
        <v>13728.400000000001</v>
      </c>
    </row>
    <row r="27" spans="7:9" ht="12.75">
      <c r="G27" s="2">
        <f>SUM(G16:G26)/8</f>
        <v>2679.4375000000005</v>
      </c>
      <c r="H27" s="2">
        <f>SUM(H17:H26)/8</f>
        <v>10184.5</v>
      </c>
      <c r="I27" s="2">
        <f>SUM(I17:I26)/8</f>
        <v>2679.4375</v>
      </c>
    </row>
    <row r="29" ht="12.75">
      <c r="I29" s="2">
        <f>H27/I27</f>
        <v>3.800984348394019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I2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7.140625" style="0" customWidth="1"/>
    <col min="2" max="2" width="12.7109375" style="0" customWidth="1"/>
    <col min="3" max="3" width="10.7109375" style="0" customWidth="1"/>
    <col min="4" max="4" width="8.57421875" style="0" customWidth="1"/>
    <col min="5" max="5" width="16.140625" style="0" customWidth="1"/>
    <col min="6" max="6" width="13.421875" style="0" customWidth="1"/>
    <col min="7" max="7" width="15.421875" style="0" customWidth="1"/>
    <col min="8" max="8" width="14.00390625" style="0" customWidth="1"/>
  </cols>
  <sheetData>
    <row r="1" spans="1:9" ht="12.75">
      <c r="A1" s="1"/>
      <c r="B1" s="3" t="s">
        <v>468</v>
      </c>
      <c r="C1" s="3"/>
      <c r="D1" s="2"/>
      <c r="E1" s="2"/>
      <c r="F1" s="2"/>
      <c r="G1" s="2"/>
      <c r="H1" s="2"/>
      <c r="I1" s="3"/>
    </row>
    <row r="2" spans="1:9" ht="12.75">
      <c r="A2" s="1"/>
      <c r="B2" s="3"/>
      <c r="C2" s="3" t="s">
        <v>305</v>
      </c>
      <c r="D2" s="2"/>
      <c r="E2" s="2"/>
      <c r="F2" s="2"/>
      <c r="G2" s="2"/>
      <c r="H2" s="2"/>
      <c r="I2" s="3"/>
    </row>
    <row r="3" spans="1:9" ht="12.75">
      <c r="A3" s="1"/>
      <c r="B3" s="3"/>
      <c r="C3" s="3"/>
      <c r="D3" s="2"/>
      <c r="E3" s="2"/>
      <c r="F3" s="2"/>
      <c r="G3" s="2"/>
      <c r="H3" s="2"/>
      <c r="I3" s="3"/>
    </row>
    <row r="4" spans="1:9" ht="12.75">
      <c r="A4" s="1" t="s">
        <v>577</v>
      </c>
      <c r="B4" s="3" t="s">
        <v>506</v>
      </c>
      <c r="C4" s="3" t="s">
        <v>538</v>
      </c>
      <c r="D4" s="3" t="s">
        <v>543</v>
      </c>
      <c r="E4" s="3" t="s">
        <v>243</v>
      </c>
      <c r="F4" s="3" t="s">
        <v>243</v>
      </c>
      <c r="G4" s="3" t="s">
        <v>523</v>
      </c>
      <c r="H4" s="3" t="s">
        <v>318</v>
      </c>
      <c r="I4" s="3" t="s">
        <v>566</v>
      </c>
    </row>
    <row r="5" spans="1:9" ht="12.75">
      <c r="A5" s="1"/>
      <c r="B5" s="3" t="s">
        <v>508</v>
      </c>
      <c r="C5" s="3" t="s">
        <v>275</v>
      </c>
      <c r="D5" s="3" t="s">
        <v>509</v>
      </c>
      <c r="E5" s="3" t="s">
        <v>390</v>
      </c>
      <c r="F5" s="3" t="s">
        <v>362</v>
      </c>
      <c r="G5" s="3" t="s">
        <v>541</v>
      </c>
      <c r="H5" s="3" t="s">
        <v>450</v>
      </c>
      <c r="I5" s="3" t="s">
        <v>279</v>
      </c>
    </row>
    <row r="6" spans="1:9" ht="12.75">
      <c r="A6" s="1"/>
      <c r="B6" s="3" t="s">
        <v>209</v>
      </c>
      <c r="C6" s="3" t="s">
        <v>316</v>
      </c>
      <c r="D6" s="3"/>
      <c r="E6" s="3" t="s">
        <v>383</v>
      </c>
      <c r="F6" s="3"/>
      <c r="G6" s="3" t="s">
        <v>252</v>
      </c>
      <c r="H6" s="3" t="s">
        <v>8</v>
      </c>
      <c r="I6" s="3"/>
    </row>
    <row r="7" spans="1:9" ht="12.75">
      <c r="A7" s="1"/>
      <c r="B7" s="3" t="s">
        <v>407</v>
      </c>
      <c r="C7" s="3"/>
      <c r="D7" s="3"/>
      <c r="E7" s="3" t="s">
        <v>2</v>
      </c>
      <c r="F7" s="3"/>
      <c r="G7" s="3"/>
      <c r="H7" s="3"/>
      <c r="I7" s="3"/>
    </row>
    <row r="8" spans="1:9" ht="12.75">
      <c r="A8" s="1"/>
      <c r="B8" s="3" t="s">
        <v>384</v>
      </c>
      <c r="C8" s="3" t="s">
        <v>384</v>
      </c>
      <c r="D8" s="3" t="s">
        <v>384</v>
      </c>
      <c r="E8" s="3" t="s">
        <v>384</v>
      </c>
      <c r="F8" s="3" t="s">
        <v>384</v>
      </c>
      <c r="G8" s="3" t="s">
        <v>280</v>
      </c>
      <c r="H8" s="3"/>
      <c r="I8" s="3"/>
    </row>
    <row r="9" spans="1:9" ht="12.75">
      <c r="A9" s="1"/>
      <c r="B9" s="2"/>
      <c r="C9" s="2"/>
      <c r="D9" s="2"/>
      <c r="E9" s="2"/>
      <c r="F9" s="2"/>
      <c r="G9" s="2"/>
      <c r="H9" s="2"/>
      <c r="I9" s="3"/>
    </row>
    <row r="10" spans="1:9" ht="12.75">
      <c r="A10" s="1" t="s">
        <v>9</v>
      </c>
      <c r="B10" s="2">
        <v>3743.3</v>
      </c>
      <c r="C10" s="2"/>
      <c r="D10" s="2">
        <v>4112.5</v>
      </c>
      <c r="E10" s="2">
        <v>4500</v>
      </c>
      <c r="F10" s="2"/>
      <c r="G10" s="2"/>
      <c r="H10" s="2"/>
      <c r="I10" s="3">
        <f aca="true" t="shared" si="0" ref="I10:I25">SUM(B10:H10)</f>
        <v>12355.8</v>
      </c>
    </row>
    <row r="11" spans="1:9" ht="12.75">
      <c r="A11" s="1" t="s">
        <v>19</v>
      </c>
      <c r="B11" s="2">
        <v>8633</v>
      </c>
      <c r="C11" s="2"/>
      <c r="D11" s="2">
        <v>7354</v>
      </c>
      <c r="E11" s="2">
        <v>4250</v>
      </c>
      <c r="F11" s="2"/>
      <c r="G11" s="2"/>
      <c r="H11" s="2"/>
      <c r="I11" s="3">
        <f t="shared" si="0"/>
        <v>20237</v>
      </c>
    </row>
    <row r="12" spans="1:9" ht="12.75">
      <c r="A12" s="1" t="s">
        <v>21</v>
      </c>
      <c r="B12" s="2">
        <v>5764.7</v>
      </c>
      <c r="C12" s="2"/>
      <c r="D12" s="2">
        <v>9745.8</v>
      </c>
      <c r="E12" s="2">
        <v>4000</v>
      </c>
      <c r="F12" s="2"/>
      <c r="G12" s="2"/>
      <c r="H12" s="2">
        <v>1800</v>
      </c>
      <c r="I12" s="3">
        <f t="shared" si="0"/>
        <v>21310.5</v>
      </c>
    </row>
    <row r="13" spans="1:9" ht="12.75">
      <c r="A13" s="1" t="s">
        <v>25</v>
      </c>
      <c r="B13" s="2">
        <v>2601.6</v>
      </c>
      <c r="C13" s="2"/>
      <c r="D13" s="2">
        <v>12751</v>
      </c>
      <c r="E13" s="2">
        <v>3750</v>
      </c>
      <c r="F13" s="2"/>
      <c r="G13" s="2"/>
      <c r="H13" s="2">
        <v>3523</v>
      </c>
      <c r="I13" s="3">
        <f t="shared" si="0"/>
        <v>22625.6</v>
      </c>
    </row>
    <row r="14" spans="1:9" ht="12.75">
      <c r="A14" s="1" t="s">
        <v>28</v>
      </c>
      <c r="B14" s="2">
        <v>3233.6</v>
      </c>
      <c r="C14" s="2"/>
      <c r="D14" s="2">
        <v>12422.75</v>
      </c>
      <c r="E14" s="2">
        <v>3500</v>
      </c>
      <c r="F14" s="2"/>
      <c r="G14" s="2"/>
      <c r="H14" s="2">
        <v>3523</v>
      </c>
      <c r="I14" s="3">
        <f t="shared" si="0"/>
        <v>22679.35</v>
      </c>
    </row>
    <row r="15" spans="1:9" ht="12.75">
      <c r="A15" s="1" t="s">
        <v>32</v>
      </c>
      <c r="B15" s="2">
        <v>4641.7</v>
      </c>
      <c r="C15" s="2"/>
      <c r="D15" s="2">
        <v>12094.5</v>
      </c>
      <c r="E15" s="2">
        <v>3250</v>
      </c>
      <c r="F15" s="2"/>
      <c r="G15" s="2"/>
      <c r="H15" s="2">
        <v>3795.86</v>
      </c>
      <c r="I15" s="3">
        <f t="shared" si="0"/>
        <v>23782.06</v>
      </c>
    </row>
    <row r="16" spans="1:9" ht="12.75">
      <c r="A16" s="1" t="s">
        <v>34</v>
      </c>
      <c r="B16" s="2">
        <v>8099.6</v>
      </c>
      <c r="C16" s="2"/>
      <c r="D16" s="2">
        <v>11766.25</v>
      </c>
      <c r="E16" s="2">
        <v>3000</v>
      </c>
      <c r="F16" s="2"/>
      <c r="G16" s="2"/>
      <c r="H16" s="2">
        <v>4068.7</v>
      </c>
      <c r="I16" s="3">
        <f t="shared" si="0"/>
        <v>26934.55</v>
      </c>
    </row>
    <row r="17" spans="1:9" ht="12.75">
      <c r="A17" s="1" t="s">
        <v>39</v>
      </c>
      <c r="B17" s="2">
        <v>7725.2</v>
      </c>
      <c r="C17" s="2">
        <v>4509</v>
      </c>
      <c r="D17" s="2">
        <v>11438</v>
      </c>
      <c r="E17" s="2">
        <v>2750</v>
      </c>
      <c r="F17" s="2"/>
      <c r="G17" s="2">
        <v>3929.508419657323</v>
      </c>
      <c r="H17" s="2">
        <v>4341.57</v>
      </c>
      <c r="I17" s="3">
        <f t="shared" si="0"/>
        <v>34693.27841965732</v>
      </c>
    </row>
    <row r="18" spans="1:9" ht="12.75">
      <c r="A18" s="1" t="s">
        <v>41</v>
      </c>
      <c r="B18" s="2">
        <v>7589.5</v>
      </c>
      <c r="C18" s="2">
        <v>5441.8</v>
      </c>
      <c r="D18" s="2">
        <v>11109.75</v>
      </c>
      <c r="E18" s="2">
        <v>2500</v>
      </c>
      <c r="F18" s="2"/>
      <c r="G18" s="2">
        <v>3936.8749324954592</v>
      </c>
      <c r="H18" s="2">
        <v>4614.43</v>
      </c>
      <c r="I18" s="3">
        <f t="shared" si="0"/>
        <v>35192.35493249546</v>
      </c>
    </row>
    <row r="19" spans="1:9" ht="12.75">
      <c r="A19" s="1" t="s">
        <v>45</v>
      </c>
      <c r="B19" s="2">
        <v>5170.4</v>
      </c>
      <c r="C19" s="2">
        <v>5905.7</v>
      </c>
      <c r="D19" s="2">
        <v>10781.5</v>
      </c>
      <c r="E19" s="2">
        <v>2250</v>
      </c>
      <c r="F19" s="2">
        <v>2172.2</v>
      </c>
      <c r="G19" s="2">
        <v>2090.248017821199</v>
      </c>
      <c r="H19" s="2">
        <v>4887.29</v>
      </c>
      <c r="I19" s="3">
        <f t="shared" si="0"/>
        <v>33257.338017821196</v>
      </c>
    </row>
    <row r="20" spans="1:9" ht="12.75">
      <c r="A20" s="1" t="s">
        <v>48</v>
      </c>
      <c r="B20" s="2">
        <v>3860.3</v>
      </c>
      <c r="C20" s="2">
        <v>6010</v>
      </c>
      <c r="D20" s="2">
        <v>10453.25</v>
      </c>
      <c r="E20" s="2">
        <v>2000</v>
      </c>
      <c r="F20" s="2">
        <v>9627.8</v>
      </c>
      <c r="G20" s="2">
        <v>2486.461172615249</v>
      </c>
      <c r="H20" s="2">
        <v>5160.14</v>
      </c>
      <c r="I20" s="3">
        <f t="shared" si="0"/>
        <v>39597.95117261525</v>
      </c>
    </row>
    <row r="21" spans="1:9" ht="12.75">
      <c r="A21" s="1" t="s">
        <v>52</v>
      </c>
      <c r="B21" s="2">
        <v>3359.6</v>
      </c>
      <c r="C21" s="2">
        <v>7821.8</v>
      </c>
      <c r="D21" s="2">
        <v>10125</v>
      </c>
      <c r="E21" s="2">
        <v>2000</v>
      </c>
      <c r="F21" s="2">
        <v>13223.2</v>
      </c>
      <c r="G21" s="2">
        <v>2312.5588516863863</v>
      </c>
      <c r="H21" s="2">
        <v>5433</v>
      </c>
      <c r="I21" s="3">
        <f t="shared" si="0"/>
        <v>44275.15885168639</v>
      </c>
    </row>
    <row r="22" spans="1:9" ht="12.75">
      <c r="A22" s="1" t="s">
        <v>54</v>
      </c>
      <c r="B22" s="2">
        <v>4922.4</v>
      </c>
      <c r="C22" s="2">
        <v>6673.9</v>
      </c>
      <c r="D22" s="2">
        <v>10125</v>
      </c>
      <c r="E22" s="2">
        <v>2000</v>
      </c>
      <c r="F22" s="2">
        <v>16275.4</v>
      </c>
      <c r="G22" s="2">
        <v>2269.1490438902256</v>
      </c>
      <c r="H22" s="2">
        <v>5433</v>
      </c>
      <c r="I22" s="3">
        <f t="shared" si="0"/>
        <v>47698.84904389022</v>
      </c>
    </row>
    <row r="23" spans="1:9" ht="12.75">
      <c r="A23" s="1" t="s">
        <v>59</v>
      </c>
      <c r="B23" s="2">
        <v>14336.8</v>
      </c>
      <c r="C23" s="2">
        <v>5709.5</v>
      </c>
      <c r="D23" s="2">
        <v>10125</v>
      </c>
      <c r="E23" s="2">
        <v>3947</v>
      </c>
      <c r="F23" s="2">
        <v>13217.9</v>
      </c>
      <c r="G23" s="2">
        <v>2256.520736167706</v>
      </c>
      <c r="H23" s="2">
        <v>5433</v>
      </c>
      <c r="I23" s="3">
        <f t="shared" si="0"/>
        <v>55025.720736167714</v>
      </c>
    </row>
    <row r="24" spans="1:9" ht="12.75">
      <c r="A24" s="1" t="s">
        <v>61</v>
      </c>
      <c r="B24" s="2">
        <v>9330.2</v>
      </c>
      <c r="C24" s="2">
        <v>4381.9</v>
      </c>
      <c r="D24" s="5">
        <v>9963.493008394786</v>
      </c>
      <c r="E24" s="2">
        <v>3997</v>
      </c>
      <c r="F24" s="2">
        <v>11537.2</v>
      </c>
      <c r="G24" s="2">
        <v>2154.178825666454</v>
      </c>
      <c r="H24" s="2">
        <v>5433</v>
      </c>
      <c r="I24" s="3">
        <f t="shared" si="0"/>
        <v>46796.97183406124</v>
      </c>
    </row>
    <row r="25" spans="1:9" ht="12.75">
      <c r="A25" s="1" t="s">
        <v>65</v>
      </c>
      <c r="B25" s="2">
        <v>6071.1</v>
      </c>
      <c r="C25" s="2">
        <v>6957.3</v>
      </c>
      <c r="D25" s="5">
        <v>9963.493008394786</v>
      </c>
      <c r="E25" s="2">
        <v>700</v>
      </c>
      <c r="F25" s="2">
        <v>11537.2</v>
      </c>
      <c r="G25" s="2">
        <v>2154.2</v>
      </c>
      <c r="H25" s="2">
        <v>5433</v>
      </c>
      <c r="I25" s="3">
        <f t="shared" si="0"/>
        <v>42816.29300839479</v>
      </c>
    </row>
    <row r="26" spans="1:9" ht="12.75">
      <c r="A26" s="1"/>
      <c r="B26" s="2"/>
      <c r="C26" s="2"/>
      <c r="D26" s="2"/>
      <c r="E26" s="2"/>
      <c r="F26" s="2"/>
      <c r="G26" s="2"/>
      <c r="H26" s="2"/>
      <c r="I26" s="3"/>
    </row>
    <row r="27" spans="1:9" ht="12.75">
      <c r="A27" s="1"/>
      <c r="B27" s="2"/>
      <c r="C27" s="2"/>
      <c r="D27" s="2"/>
      <c r="E27" s="2"/>
      <c r="F27" s="2"/>
      <c r="G27" s="2">
        <f>SUM(G17:G26)/8</f>
        <v>2948.7125</v>
      </c>
      <c r="H27" s="2"/>
      <c r="I27" s="3"/>
    </row>
    <row r="28" spans="1:9" ht="12.75">
      <c r="A28" s="1"/>
      <c r="B28" s="2"/>
      <c r="C28" s="2"/>
      <c r="D28" s="2"/>
      <c r="E28" s="2"/>
      <c r="F28" s="2"/>
      <c r="G28" s="2"/>
      <c r="H28" s="2"/>
      <c r="I28" s="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J50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7.140625" style="0" customWidth="1"/>
    <col min="2" max="2" width="12.7109375" style="0" customWidth="1"/>
    <col min="3" max="3" width="12.140625" style="0" customWidth="1"/>
    <col min="4" max="4" width="9.7109375" style="0" customWidth="1"/>
    <col min="5" max="5" width="13.421875" style="0" customWidth="1"/>
    <col min="6" max="6" width="16.140625" style="0" customWidth="1"/>
    <col min="7" max="7" width="11.7109375" style="0" customWidth="1"/>
    <col min="8" max="8" width="14.00390625" style="0" customWidth="1"/>
    <col min="10" max="10" width="9.7109375" style="0" customWidth="1"/>
  </cols>
  <sheetData>
    <row r="1" spans="1:10" ht="12.75">
      <c r="A1" s="1"/>
      <c r="B1" s="4" t="s">
        <v>310</v>
      </c>
      <c r="C1" s="6"/>
      <c r="D1" s="5"/>
      <c r="E1" s="6"/>
      <c r="F1" s="5"/>
      <c r="G1" s="5"/>
      <c r="H1" s="6"/>
      <c r="I1" s="5"/>
      <c r="J1" s="4"/>
    </row>
    <row r="2" spans="1:10" ht="12.75">
      <c r="A2" s="1"/>
      <c r="B2" s="4" t="s">
        <v>336</v>
      </c>
      <c r="C2" s="6"/>
      <c r="D2" s="5"/>
      <c r="E2" s="6"/>
      <c r="F2" s="5"/>
      <c r="G2" s="5"/>
      <c r="H2" s="6"/>
      <c r="I2" s="5"/>
      <c r="J2" s="4"/>
    </row>
    <row r="3" spans="1:10" ht="12.75">
      <c r="A3" s="1"/>
      <c r="B3" s="5"/>
      <c r="C3" s="6"/>
      <c r="D3" s="5"/>
      <c r="E3" s="6"/>
      <c r="F3" s="5"/>
      <c r="G3" s="5"/>
      <c r="H3" s="6"/>
      <c r="I3" s="5"/>
      <c r="J3" s="4"/>
    </row>
    <row r="4" spans="1:10" ht="12.75">
      <c r="A4" s="1" t="s">
        <v>577</v>
      </c>
      <c r="B4" s="4" t="s">
        <v>505</v>
      </c>
      <c r="C4" s="7" t="s">
        <v>537</v>
      </c>
      <c r="D4" s="4" t="s">
        <v>544</v>
      </c>
      <c r="E4" s="7" t="s">
        <v>244</v>
      </c>
      <c r="F4" s="4" t="s">
        <v>5</v>
      </c>
      <c r="G4" s="4" t="s">
        <v>524</v>
      </c>
      <c r="H4" s="7" t="s">
        <v>317</v>
      </c>
      <c r="I4" s="4"/>
      <c r="J4" s="4" t="s">
        <v>552</v>
      </c>
    </row>
    <row r="5" spans="1:10" ht="12.75">
      <c r="A5" s="1"/>
      <c r="B5" s="4" t="s">
        <v>508</v>
      </c>
      <c r="C5" s="7" t="s">
        <v>275</v>
      </c>
      <c r="D5" s="4" t="s">
        <v>509</v>
      </c>
      <c r="E5" s="7" t="s">
        <v>363</v>
      </c>
      <c r="F5" s="4" t="s">
        <v>390</v>
      </c>
      <c r="G5" s="4" t="s">
        <v>539</v>
      </c>
      <c r="H5" s="8" t="s">
        <v>450</v>
      </c>
      <c r="I5" s="4"/>
      <c r="J5" s="4"/>
    </row>
    <row r="6" spans="1:10" ht="12.75">
      <c r="A6" s="1"/>
      <c r="B6" s="4" t="s">
        <v>209</v>
      </c>
      <c r="C6" s="7" t="s">
        <v>316</v>
      </c>
      <c r="D6" s="4"/>
      <c r="E6" s="7"/>
      <c r="F6" s="4" t="s">
        <v>383</v>
      </c>
      <c r="G6" s="4" t="s">
        <v>308</v>
      </c>
      <c r="H6" s="7" t="s">
        <v>8</v>
      </c>
      <c r="I6" s="4"/>
      <c r="J6" s="4"/>
    </row>
    <row r="7" spans="1:10" ht="12.75">
      <c r="A7" s="1"/>
      <c r="B7" s="4" t="s">
        <v>407</v>
      </c>
      <c r="C7" s="7"/>
      <c r="D7" s="4"/>
      <c r="E7" s="7"/>
      <c r="F7" s="4"/>
      <c r="G7" s="4"/>
      <c r="H7" s="7"/>
      <c r="I7" s="4"/>
      <c r="J7" s="4"/>
    </row>
    <row r="8" spans="1:10" ht="12.75">
      <c r="A8" s="1"/>
      <c r="B8" s="5"/>
      <c r="C8" s="6"/>
      <c r="D8" s="5"/>
      <c r="E8" s="6"/>
      <c r="F8" s="5"/>
      <c r="G8" s="5"/>
      <c r="H8" s="6"/>
      <c r="I8" s="5"/>
      <c r="J8" s="4"/>
    </row>
    <row r="9" spans="1:10" ht="12.75">
      <c r="A9" s="1" t="s">
        <v>9</v>
      </c>
      <c r="B9" s="5">
        <v>3743.3</v>
      </c>
      <c r="C9" s="6"/>
      <c r="D9" s="5">
        <v>4112.5</v>
      </c>
      <c r="E9" s="6"/>
      <c r="F9" s="5">
        <v>4500</v>
      </c>
      <c r="G9" s="5"/>
      <c r="H9" s="6"/>
      <c r="I9" s="5"/>
      <c r="J9" s="4">
        <f>SUM(B9:H9)</f>
        <v>12355.8</v>
      </c>
    </row>
    <row r="10" spans="1:10" ht="12.75">
      <c r="A10" s="1" t="s">
        <v>19</v>
      </c>
      <c r="B10" s="5">
        <v>8633</v>
      </c>
      <c r="C10" s="6"/>
      <c r="D10" s="5">
        <v>7354</v>
      </c>
      <c r="E10" s="6"/>
      <c r="F10" s="5">
        <f>4500-(F9-F20)*0.2</f>
        <v>4250</v>
      </c>
      <c r="G10" s="5"/>
      <c r="H10" s="6"/>
      <c r="I10" s="5"/>
      <c r="J10" s="4">
        <f>SUM(B10:H10)</f>
        <v>20237</v>
      </c>
    </row>
    <row r="11" spans="1:10" ht="12.75">
      <c r="A11" s="1"/>
      <c r="B11" s="5"/>
      <c r="C11" s="6"/>
      <c r="D11" s="5"/>
      <c r="E11" s="6"/>
      <c r="F11" s="5"/>
      <c r="G11" s="5"/>
      <c r="H11" s="6"/>
      <c r="I11" s="5"/>
      <c r="J11" s="4"/>
    </row>
    <row r="12" spans="1:10" ht="12.75">
      <c r="A12" s="1" t="s">
        <v>15</v>
      </c>
      <c r="B12" s="4">
        <f>SUM(B9:B11)/2</f>
        <v>6188.15</v>
      </c>
      <c r="C12" s="7"/>
      <c r="D12" s="4">
        <f>SUM(D9:D11)/2</f>
        <v>5733.25</v>
      </c>
      <c r="E12" s="7"/>
      <c r="F12" s="4">
        <f>SUM(F9:F11)/2</f>
        <v>4375</v>
      </c>
      <c r="G12" s="4"/>
      <c r="H12" s="7"/>
      <c r="I12" s="4"/>
      <c r="J12" s="4">
        <f>SUM(B12:H12)</f>
        <v>16296.4</v>
      </c>
    </row>
    <row r="13" spans="1:10" ht="12.75">
      <c r="A13" s="1"/>
      <c r="B13" s="5"/>
      <c r="C13" s="6"/>
      <c r="D13" s="5"/>
      <c r="E13" s="6"/>
      <c r="F13" s="5"/>
      <c r="G13" s="5"/>
      <c r="H13" s="6"/>
      <c r="I13" s="5"/>
      <c r="J13" s="4"/>
    </row>
    <row r="14" spans="1:10" ht="12.75">
      <c r="A14" s="1" t="s">
        <v>21</v>
      </c>
      <c r="B14" s="5">
        <v>5764.7</v>
      </c>
      <c r="C14" s="6"/>
      <c r="D14" s="5">
        <v>9745.8</v>
      </c>
      <c r="E14" s="6"/>
      <c r="F14" s="5">
        <v>4000</v>
      </c>
      <c r="G14" s="5"/>
      <c r="H14" s="6">
        <v>1800</v>
      </c>
      <c r="I14" s="5"/>
      <c r="J14" s="4">
        <f>SUM(B14:H14)</f>
        <v>21310.5</v>
      </c>
    </row>
    <row r="15" spans="1:10" ht="12.75">
      <c r="A15" s="1" t="s">
        <v>25</v>
      </c>
      <c r="B15" s="5">
        <v>2601.6</v>
      </c>
      <c r="C15" s="6"/>
      <c r="D15" s="5">
        <v>12751</v>
      </c>
      <c r="E15" s="6"/>
      <c r="F15" s="5">
        <v>3750</v>
      </c>
      <c r="G15" s="5"/>
      <c r="H15" s="6">
        <v>3523</v>
      </c>
      <c r="I15" s="5"/>
      <c r="J15" s="4">
        <f>SUM(B15:H15)</f>
        <v>22625.6</v>
      </c>
    </row>
    <row r="16" spans="1:10" ht="12.75">
      <c r="A16" s="1"/>
      <c r="B16" s="5"/>
      <c r="C16" s="6"/>
      <c r="D16" s="5"/>
      <c r="E16" s="6"/>
      <c r="F16" s="5"/>
      <c r="G16" s="5"/>
      <c r="H16" s="6"/>
      <c r="I16" s="5"/>
      <c r="J16" s="4"/>
    </row>
    <row r="17" spans="1:10" ht="12.75">
      <c r="A17" s="1" t="s">
        <v>22</v>
      </c>
      <c r="B17" s="4">
        <f>SUM(B14:B16)/2</f>
        <v>4183.15</v>
      </c>
      <c r="C17" s="7"/>
      <c r="D17" s="4">
        <f>SUM(D14:D16)/2</f>
        <v>11248.4</v>
      </c>
      <c r="E17" s="7"/>
      <c r="F17" s="4">
        <f>SUM(F14:F16)/2</f>
        <v>3875</v>
      </c>
      <c r="G17" s="4"/>
      <c r="H17" s="7">
        <f>SUM(H14:H16)/2</f>
        <v>2661.5</v>
      </c>
      <c r="I17" s="4"/>
      <c r="J17" s="4">
        <f>SUM(B17:H17)</f>
        <v>21968.05</v>
      </c>
    </row>
    <row r="18" spans="1:10" ht="12.75">
      <c r="A18" s="1"/>
      <c r="B18" s="5"/>
      <c r="C18" s="6"/>
      <c r="D18" s="5"/>
      <c r="E18" s="6"/>
      <c r="F18" s="5"/>
      <c r="G18" s="5"/>
      <c r="H18" s="6"/>
      <c r="I18" s="5"/>
      <c r="J18" s="4"/>
    </row>
    <row r="19" spans="1:10" ht="12.75">
      <c r="A19" s="1" t="s">
        <v>28</v>
      </c>
      <c r="B19" s="5">
        <v>3233.3</v>
      </c>
      <c r="C19" s="6"/>
      <c r="D19" s="5">
        <f>(D15+D20)/2</f>
        <v>12422.75</v>
      </c>
      <c r="E19" s="6"/>
      <c r="F19" s="5">
        <v>3500</v>
      </c>
      <c r="G19" s="5"/>
      <c r="H19" s="6">
        <v>3523</v>
      </c>
      <c r="I19" s="5"/>
      <c r="J19" s="4">
        <f>SUM(B19:H19)</f>
        <v>22679.05</v>
      </c>
    </row>
    <row r="20" spans="1:10" ht="12.75">
      <c r="A20" s="1" t="s">
        <v>32</v>
      </c>
      <c r="B20" s="5">
        <v>4641.7</v>
      </c>
      <c r="C20" s="6"/>
      <c r="D20" s="5">
        <f>(D15+D25)/2</f>
        <v>12094.5</v>
      </c>
      <c r="E20" s="6"/>
      <c r="F20" s="5">
        <f>(F9+F34)/2</f>
        <v>3250</v>
      </c>
      <c r="G20" s="5">
        <v>1833.02450708533</v>
      </c>
      <c r="H20" s="5">
        <v>3795.8571428571427</v>
      </c>
      <c r="I20" s="5"/>
      <c r="J20" s="4">
        <f>SUM(B20:H20)</f>
        <v>25615.081649942473</v>
      </c>
    </row>
    <row r="21" spans="1:10" ht="12.75">
      <c r="A21" s="1"/>
      <c r="B21" s="5"/>
      <c r="C21" s="6"/>
      <c r="D21" s="5"/>
      <c r="E21" s="6"/>
      <c r="F21" s="5"/>
      <c r="G21" s="5"/>
      <c r="H21" s="6"/>
      <c r="I21" s="5"/>
      <c r="J21" s="4"/>
    </row>
    <row r="22" spans="1:10" ht="12.75">
      <c r="A22" s="1" t="s">
        <v>29</v>
      </c>
      <c r="B22" s="4">
        <f>SUM(B19:B21)/2</f>
        <v>3937.5</v>
      </c>
      <c r="C22" s="7"/>
      <c r="D22" s="4">
        <f>SUM(D19:D21)/2</f>
        <v>12258.625</v>
      </c>
      <c r="E22" s="7"/>
      <c r="F22" s="4">
        <f>SUM(F19:F21)/2</f>
        <v>3375</v>
      </c>
      <c r="G22" s="4">
        <f>SUM(G19:G21)/2</f>
        <v>916.512253542665</v>
      </c>
      <c r="H22" s="7">
        <f>SUM(H19:H21)/2</f>
        <v>3659.4285714285716</v>
      </c>
      <c r="I22" s="4"/>
      <c r="J22" s="4">
        <f>SUM(B22:H22)</f>
        <v>24147.065824971236</v>
      </c>
    </row>
    <row r="23" spans="1:10" ht="12.75">
      <c r="A23" s="1"/>
      <c r="B23" s="5"/>
      <c r="C23" s="6"/>
      <c r="D23" s="5"/>
      <c r="E23" s="6"/>
      <c r="F23" s="5"/>
      <c r="G23" s="5"/>
      <c r="H23" s="6"/>
      <c r="I23" s="5"/>
      <c r="J23" s="4"/>
    </row>
    <row r="24" spans="1:10" ht="12.75">
      <c r="A24" s="1" t="s">
        <v>34</v>
      </c>
      <c r="B24" s="5">
        <v>8099.6</v>
      </c>
      <c r="C24" s="6">
        <v>4509</v>
      </c>
      <c r="D24" s="5">
        <f>(D20+D25)/2</f>
        <v>11766.25</v>
      </c>
      <c r="E24" s="6"/>
      <c r="F24" s="5">
        <v>3000</v>
      </c>
      <c r="G24" s="5">
        <v>2260.7877204608017</v>
      </c>
      <c r="H24" s="5">
        <v>4068.7142857142853</v>
      </c>
      <c r="I24" s="5"/>
      <c r="J24" s="4">
        <f>SUM(B24:H24)</f>
        <v>33704.35200617508</v>
      </c>
    </row>
    <row r="25" spans="1:10" ht="12.75">
      <c r="A25" s="1" t="s">
        <v>39</v>
      </c>
      <c r="B25" s="5">
        <v>7725.2</v>
      </c>
      <c r="C25" s="6">
        <v>4509</v>
      </c>
      <c r="D25" s="5">
        <f>(D15+D35)/2</f>
        <v>11438</v>
      </c>
      <c r="E25" s="6"/>
      <c r="F25" s="5">
        <v>2750</v>
      </c>
      <c r="G25" s="5">
        <v>3680.340642267306</v>
      </c>
      <c r="H25" s="5">
        <v>4341.571428571428</v>
      </c>
      <c r="I25" s="5"/>
      <c r="J25" s="4">
        <f>SUM(B25:H25)</f>
        <v>34444.11207083874</v>
      </c>
    </row>
    <row r="26" spans="1:10" ht="12.75">
      <c r="A26" s="1"/>
      <c r="B26" s="5"/>
      <c r="C26" s="6"/>
      <c r="D26" s="5"/>
      <c r="E26" s="6"/>
      <c r="F26" s="5"/>
      <c r="G26" s="5"/>
      <c r="H26" s="6"/>
      <c r="I26" s="5"/>
      <c r="J26" s="4"/>
    </row>
    <row r="27" spans="1:10" ht="12.75">
      <c r="A27" s="1" t="s">
        <v>35</v>
      </c>
      <c r="B27" s="4">
        <f>SUM(B24:B26)/2</f>
        <v>7912.4</v>
      </c>
      <c r="C27" s="7">
        <v>4509</v>
      </c>
      <c r="D27" s="4">
        <f>SUM(D24:D26)/2</f>
        <v>11602.125</v>
      </c>
      <c r="E27" s="7"/>
      <c r="F27" s="4">
        <f>SUM(F24:F26)/2</f>
        <v>2875</v>
      </c>
      <c r="G27" s="4">
        <f>SUM(G24:G26)/2</f>
        <v>2970.564181364054</v>
      </c>
      <c r="H27" s="7">
        <f>SUM(H24:H26)/2</f>
        <v>4205.142857142857</v>
      </c>
      <c r="I27" s="4"/>
      <c r="J27" s="4">
        <f>SUM(B27:H27)</f>
        <v>34074.23203850691</v>
      </c>
    </row>
    <row r="28" spans="1:10" ht="12.75">
      <c r="A28" s="1"/>
      <c r="B28" s="5"/>
      <c r="C28" s="6"/>
      <c r="D28" s="5"/>
      <c r="E28" s="6"/>
      <c r="F28" s="5"/>
      <c r="G28" s="5"/>
      <c r="H28" s="6"/>
      <c r="I28" s="5"/>
      <c r="J28" s="4"/>
    </row>
    <row r="29" spans="1:10" ht="12.75">
      <c r="A29" s="1" t="s">
        <v>41</v>
      </c>
      <c r="B29" s="5">
        <v>7589.5</v>
      </c>
      <c r="C29" s="6">
        <v>5441.8</v>
      </c>
      <c r="D29" s="5">
        <f>(D25+D30)/2</f>
        <v>11109.75</v>
      </c>
      <c r="E29" s="6"/>
      <c r="F29" s="5">
        <v>2500</v>
      </c>
      <c r="G29" s="5">
        <v>3687.2400489346523</v>
      </c>
      <c r="H29" s="5">
        <v>4614.428571428572</v>
      </c>
      <c r="I29" s="5"/>
      <c r="J29" s="4">
        <f>SUM(B29:H29)</f>
        <v>34942.71862036322</v>
      </c>
    </row>
    <row r="30" spans="1:10" ht="12.75">
      <c r="A30" s="1" t="s">
        <v>45</v>
      </c>
      <c r="B30" s="5">
        <v>5170.4</v>
      </c>
      <c r="C30" s="6">
        <v>5905.7</v>
      </c>
      <c r="D30" s="5">
        <f>(D25+D35)/2</f>
        <v>10781.5</v>
      </c>
      <c r="E30" s="6">
        <v>2172.2</v>
      </c>
      <c r="F30" s="5">
        <v>2250</v>
      </c>
      <c r="G30" s="5">
        <v>1957.706641859517</v>
      </c>
      <c r="H30" s="5">
        <v>4887.285714285715</v>
      </c>
      <c r="I30" s="5"/>
      <c r="J30" s="4">
        <f>SUM(B30:H30)</f>
        <v>33124.79235614523</v>
      </c>
    </row>
    <row r="31" spans="1:10" ht="12.75">
      <c r="A31" s="1"/>
      <c r="B31" s="5"/>
      <c r="C31" s="6"/>
      <c r="D31" s="5"/>
      <c r="E31" s="6"/>
      <c r="F31" s="5"/>
      <c r="G31" s="5"/>
      <c r="H31" s="6"/>
      <c r="I31" s="5"/>
      <c r="J31" s="4"/>
    </row>
    <row r="32" spans="1:10" ht="12.75">
      <c r="A32" s="1" t="s">
        <v>42</v>
      </c>
      <c r="B32" s="4">
        <f>SUM(B29:B31)/2</f>
        <v>6379.95</v>
      </c>
      <c r="C32" s="7">
        <f>SUM(C29:C31)/2</f>
        <v>5673.75</v>
      </c>
      <c r="D32" s="4">
        <f>SUM(D29:D31)/2</f>
        <v>10945.625</v>
      </c>
      <c r="E32" s="7">
        <f>SUM(E30:E31)/2</f>
        <v>1086.1</v>
      </c>
      <c r="F32" s="4">
        <f>SUM(F29:F31)/2</f>
        <v>2375</v>
      </c>
      <c r="G32" s="4">
        <f>SUM(G29:G31)/2</f>
        <v>2822.473345397085</v>
      </c>
      <c r="H32" s="7">
        <f>SUM(H29:H31)/2</f>
        <v>4750.857142857143</v>
      </c>
      <c r="I32" s="4"/>
      <c r="J32" s="4">
        <f>SUM(B32:H32)</f>
        <v>34033.755488254224</v>
      </c>
    </row>
    <row r="33" spans="1:10" ht="12.75">
      <c r="A33" s="1"/>
      <c r="B33" s="5"/>
      <c r="C33" s="6"/>
      <c r="D33" s="5"/>
      <c r="E33" s="6"/>
      <c r="F33" s="5"/>
      <c r="G33" s="5"/>
      <c r="H33" s="6"/>
      <c r="I33" s="5"/>
      <c r="J33" s="4"/>
    </row>
    <row r="34" spans="1:10" ht="12.75">
      <c r="A34" s="1" t="s">
        <v>48</v>
      </c>
      <c r="B34" s="5">
        <v>3860.3</v>
      </c>
      <c r="C34" s="6">
        <v>6010</v>
      </c>
      <c r="D34" s="5">
        <f>(D30+D35)/2</f>
        <v>10453.25</v>
      </c>
      <c r="E34" s="6">
        <v>9627.8</v>
      </c>
      <c r="F34" s="5">
        <v>2000</v>
      </c>
      <c r="G34" s="5">
        <v>2328.796157610358</v>
      </c>
      <c r="H34" s="5">
        <v>5160.142857142858</v>
      </c>
      <c r="I34" s="5"/>
      <c r="J34" s="4">
        <f>SUM(B34:H34)</f>
        <v>39440.28901475321</v>
      </c>
    </row>
    <row r="35" spans="1:10" ht="12.75">
      <c r="A35" s="1" t="s">
        <v>52</v>
      </c>
      <c r="B35" s="5">
        <v>3359.6</v>
      </c>
      <c r="C35" s="6">
        <v>7821.8</v>
      </c>
      <c r="D35" s="5">
        <v>10125</v>
      </c>
      <c r="E35" s="6">
        <v>13223.2</v>
      </c>
      <c r="F35" s="5">
        <v>2000</v>
      </c>
      <c r="G35" s="5">
        <v>2165.9208787847897</v>
      </c>
      <c r="H35" s="6">
        <v>5433</v>
      </c>
      <c r="I35" s="5"/>
      <c r="J35" s="4">
        <f>SUM(B35:H35)</f>
        <v>44128.520878784795</v>
      </c>
    </row>
    <row r="36" spans="1:10" ht="12.75">
      <c r="A36" s="1"/>
      <c r="B36" s="5"/>
      <c r="C36" s="6"/>
      <c r="D36" s="5"/>
      <c r="E36" s="6"/>
      <c r="F36" s="5"/>
      <c r="G36" s="5"/>
      <c r="H36" s="6"/>
      <c r="I36" s="5"/>
      <c r="J36" s="4"/>
    </row>
    <row r="37" spans="1:10" ht="12.75">
      <c r="A37" s="1" t="s">
        <v>49</v>
      </c>
      <c r="B37" s="4">
        <f aca="true" t="shared" si="0" ref="B37:H37">SUM(B34:B36)/2</f>
        <v>3609.95</v>
      </c>
      <c r="C37" s="7">
        <f t="shared" si="0"/>
        <v>6915.9</v>
      </c>
      <c r="D37" s="4">
        <f t="shared" si="0"/>
        <v>10289.125</v>
      </c>
      <c r="E37" s="7">
        <f t="shared" si="0"/>
        <v>11425.5</v>
      </c>
      <c r="F37" s="4">
        <f t="shared" si="0"/>
        <v>2000</v>
      </c>
      <c r="G37" s="4">
        <f t="shared" si="0"/>
        <v>2247.358518197574</v>
      </c>
      <c r="H37" s="7">
        <f t="shared" si="0"/>
        <v>5296.571428571429</v>
      </c>
      <c r="I37" s="4"/>
      <c r="J37" s="4">
        <f>SUM(B37:H37)</f>
        <v>41784.404946769</v>
      </c>
    </row>
    <row r="38" spans="1:10" ht="12.75">
      <c r="A38" s="1"/>
      <c r="B38" s="5"/>
      <c r="C38" s="6"/>
      <c r="D38" s="5"/>
      <c r="E38" s="6"/>
      <c r="F38" s="5"/>
      <c r="G38" s="5"/>
      <c r="H38" s="6"/>
      <c r="I38" s="5"/>
      <c r="J38" s="4"/>
    </row>
    <row r="39" spans="1:10" ht="12.75">
      <c r="A39" s="1" t="s">
        <v>54</v>
      </c>
      <c r="B39" s="5">
        <v>4922.4</v>
      </c>
      <c r="C39" s="6">
        <v>6673.9</v>
      </c>
      <c r="D39" s="5">
        <v>10125</v>
      </c>
      <c r="E39" s="6">
        <v>16275.4</v>
      </c>
      <c r="F39" s="5">
        <v>600</v>
      </c>
      <c r="G39" s="5">
        <v>2125.263660923642</v>
      </c>
      <c r="H39" s="6">
        <v>5433</v>
      </c>
      <c r="I39" s="5"/>
      <c r="J39" s="4">
        <f>SUM(B39:H39)</f>
        <v>46154.96366092364</v>
      </c>
    </row>
    <row r="40" spans="1:10" ht="12.75">
      <c r="A40" s="1" t="s">
        <v>59</v>
      </c>
      <c r="B40" s="5">
        <v>14336.8</v>
      </c>
      <c r="C40" s="6">
        <v>5709.5</v>
      </c>
      <c r="D40" s="5">
        <v>10125</v>
      </c>
      <c r="E40" s="6">
        <v>13217.9</v>
      </c>
      <c r="F40" s="5">
        <f>650+3297</f>
        <v>3947</v>
      </c>
      <c r="G40" s="5">
        <v>2113.4361066367624</v>
      </c>
      <c r="H40" s="6">
        <v>5433</v>
      </c>
      <c r="I40" s="5"/>
      <c r="J40" s="4">
        <f>SUM(B40:H40)</f>
        <v>54882.63610663676</v>
      </c>
    </row>
    <row r="41" spans="1:10" ht="12.75">
      <c r="A41" s="1"/>
      <c r="B41" s="5"/>
      <c r="C41" s="6"/>
      <c r="D41" s="5"/>
      <c r="E41" s="6"/>
      <c r="F41" s="5"/>
      <c r="G41" s="5"/>
      <c r="H41" s="6"/>
      <c r="I41" s="5"/>
      <c r="J41" s="4"/>
    </row>
    <row r="42" spans="1:10" ht="12.75">
      <c r="A42" s="1" t="s">
        <v>55</v>
      </c>
      <c r="B42" s="4">
        <f>SUM(B39:B41)/2</f>
        <v>9629.599999999999</v>
      </c>
      <c r="C42" s="7">
        <f>SUM(C39:C41)/2</f>
        <v>6191.7</v>
      </c>
      <c r="D42" s="4">
        <v>10125</v>
      </c>
      <c r="E42" s="7">
        <f>SUM(E39:E41)/2</f>
        <v>14746.65</v>
      </c>
      <c r="F42" s="4">
        <f>SUM(F39:F41)/2</f>
        <v>2273.5</v>
      </c>
      <c r="G42" s="4">
        <f>SUM(G39:G41)/2</f>
        <v>2119.349883780202</v>
      </c>
      <c r="H42" s="6">
        <v>5433</v>
      </c>
      <c r="I42" s="5"/>
      <c r="J42" s="4">
        <f>SUM(B42:H42)</f>
        <v>50518.7998837802</v>
      </c>
    </row>
    <row r="43" spans="1:10" ht="12.75">
      <c r="A43" s="1"/>
      <c r="B43" s="5"/>
      <c r="C43" s="6"/>
      <c r="D43" s="5"/>
      <c r="E43" s="6"/>
      <c r="F43" s="5"/>
      <c r="G43" s="5"/>
      <c r="H43" s="6"/>
      <c r="I43" s="5"/>
      <c r="J43" s="4"/>
    </row>
    <row r="44" spans="1:10" ht="12.75">
      <c r="A44" s="1" t="s">
        <v>61</v>
      </c>
      <c r="B44" s="5">
        <v>9330.2</v>
      </c>
      <c r="C44" s="6">
        <v>4381.9</v>
      </c>
      <c r="D44" s="5"/>
      <c r="E44" s="6">
        <v>11537.2</v>
      </c>
      <c r="F44" s="5">
        <f>700+3297</f>
        <v>3997</v>
      </c>
      <c r="G44" s="5">
        <v>2017.583635436844</v>
      </c>
      <c r="H44" s="6">
        <v>5433</v>
      </c>
      <c r="I44" s="5"/>
      <c r="J44" s="4">
        <f>SUM(B44:H44)</f>
        <v>36696.88363543685</v>
      </c>
    </row>
    <row r="45" spans="1:10" ht="12.75">
      <c r="A45" s="1" t="s">
        <v>65</v>
      </c>
      <c r="B45" s="5">
        <v>6071.1</v>
      </c>
      <c r="C45" s="6">
        <v>6957.3</v>
      </c>
      <c r="D45" s="5"/>
      <c r="E45" s="6">
        <v>11537.2</v>
      </c>
      <c r="F45" s="5"/>
      <c r="G45" s="5"/>
      <c r="H45" s="6">
        <v>5433</v>
      </c>
      <c r="I45" s="5"/>
      <c r="J45" s="4">
        <f>SUM(B45:H45)</f>
        <v>29998.600000000002</v>
      </c>
    </row>
    <row r="46" spans="1:10" ht="12.75">
      <c r="A46" s="1"/>
      <c r="B46" s="5"/>
      <c r="C46" s="6"/>
      <c r="D46" s="5"/>
      <c r="E46" s="6"/>
      <c r="F46" s="5"/>
      <c r="G46" s="5"/>
      <c r="H46" s="6"/>
      <c r="I46" s="5"/>
      <c r="J46" s="4"/>
    </row>
    <row r="47" spans="1:10" ht="12.75">
      <c r="A47" s="1" t="s">
        <v>62</v>
      </c>
      <c r="B47" s="4">
        <f>SUM(B44:B46)/2</f>
        <v>7700.650000000001</v>
      </c>
      <c r="C47" s="7">
        <f>SUM(C44:C46)/2</f>
        <v>5669.6</v>
      </c>
      <c r="D47" s="4"/>
      <c r="E47" s="7">
        <v>11537.2</v>
      </c>
      <c r="F47" s="4">
        <f>SUM(F44:F46)/2</f>
        <v>1998.5</v>
      </c>
      <c r="G47" s="4">
        <f>SUM(G44:G46)/2</f>
        <v>1008.791817718422</v>
      </c>
      <c r="H47" s="6">
        <v>5433</v>
      </c>
      <c r="I47" s="5"/>
      <c r="J47" s="4">
        <f>SUM(B47:H47)</f>
        <v>33347.74181771842</v>
      </c>
    </row>
    <row r="48" spans="1:10" ht="12.75">
      <c r="A48" s="1"/>
      <c r="B48" s="5"/>
      <c r="C48" s="6"/>
      <c r="D48" s="5"/>
      <c r="E48" s="6"/>
      <c r="F48" s="5"/>
      <c r="G48" s="5"/>
      <c r="H48" s="6"/>
      <c r="I48" s="5"/>
      <c r="J48" s="4"/>
    </row>
    <row r="49" spans="1:10" ht="12.75">
      <c r="A49" s="1"/>
      <c r="B49" s="5"/>
      <c r="C49" s="6"/>
      <c r="D49" s="5"/>
      <c r="E49" s="6"/>
      <c r="F49" s="5"/>
      <c r="G49" s="5"/>
      <c r="H49" s="6"/>
      <c r="I49" s="5"/>
      <c r="J49" s="4"/>
    </row>
    <row r="50" spans="1:10" ht="12.75">
      <c r="A50" s="1"/>
      <c r="B50" s="5"/>
      <c r="C50" s="6"/>
      <c r="D50" s="5"/>
      <c r="E50" s="6"/>
      <c r="F50" s="5"/>
      <c r="G50" s="5"/>
      <c r="H50" s="6"/>
      <c r="I50" s="5"/>
      <c r="J5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created xsi:type="dcterms:W3CDTF">2008-08-19T18:48:27Z</dcterms:created>
  <dcterms:modified xsi:type="dcterms:W3CDTF">2008-08-19T19:12:19Z</dcterms:modified>
  <cp:category/>
  <cp:version/>
  <cp:contentType/>
  <cp:contentStatus/>
</cp:coreProperties>
</file>