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3245" activeTab="0"/>
  </bookViews>
  <sheets>
    <sheet name="EngSilver" sheetId="1" r:id="rId1"/>
    <sheet name="EngSilverB" sheetId="2" r:id="rId2"/>
    <sheet name="EngGold" sheetId="3" r:id="rId3"/>
    <sheet name="EngGoldB" sheetId="4" r:id="rId4"/>
  </sheets>
  <definedNames/>
  <calcPr fullCalcOnLoad="1"/>
</workbook>
</file>

<file path=xl/sharedStrings.xml><?xml version="1.0" encoding="utf-8"?>
<sst xmlns="http://schemas.openxmlformats.org/spreadsheetml/2006/main" count="572" uniqueCount="235">
  <si>
    <t>Up to £200,000 base coin to be converted into 4 oz silver</t>
  </si>
  <si>
    <t>in £ sterling</t>
  </si>
  <si>
    <t>£ sterling</t>
  </si>
  <si>
    <t>0.925 fine</t>
  </si>
  <si>
    <t/>
  </si>
  <si>
    <t>% Change</t>
  </si>
  <si>
    <t>1/2d at 21s [504] per lb; 1/4 d at 21s 2d [1016] per lb.; no 1d</t>
  </si>
  <si>
    <t>1/2d: 23s 3d per lb [558]; 1/4d: 23s 5d per lb [1124]</t>
  </si>
  <si>
    <t>1257 Aug</t>
  </si>
  <si>
    <t>1257+</t>
  </si>
  <si>
    <t>1272-00-00*</t>
  </si>
  <si>
    <t>1279 Dec</t>
  </si>
  <si>
    <t>1279-12-08</t>
  </si>
  <si>
    <t>1335 May *</t>
  </si>
  <si>
    <t>1335*</t>
  </si>
  <si>
    <t>1335-07-06</t>
  </si>
  <si>
    <t>1343 Dec</t>
  </si>
  <si>
    <t>1343-12-04</t>
  </si>
  <si>
    <t>1344 Aug</t>
  </si>
  <si>
    <t>1344 Jan</t>
  </si>
  <si>
    <t>1344 Jul</t>
  </si>
  <si>
    <t>1344-07-09</t>
  </si>
  <si>
    <t>1345 Sep</t>
  </si>
  <si>
    <t>1345-06-23</t>
  </si>
  <si>
    <t>1346 Aug</t>
  </si>
  <si>
    <t>1346 Jul</t>
  </si>
  <si>
    <t>1346-07-28</t>
  </si>
  <si>
    <t>1351 =</t>
  </si>
  <si>
    <t>1351 Jul</t>
  </si>
  <si>
    <t>1351-06-20</t>
  </si>
  <si>
    <t>1351-1411</t>
  </si>
  <si>
    <t>1351-1411=</t>
  </si>
  <si>
    <t>1411 Nov</t>
  </si>
  <si>
    <t>1412 Apr</t>
  </si>
  <si>
    <t>1412-04-03</t>
  </si>
  <si>
    <t>1464 Aug</t>
  </si>
  <si>
    <t>1464-08-13</t>
  </si>
  <si>
    <t>1465 Mar</t>
  </si>
  <si>
    <t>1489 Oct</t>
  </si>
  <si>
    <t>1526 Aug*</t>
  </si>
  <si>
    <t>1526 Nov*</t>
  </si>
  <si>
    <t>1526 Nov**</t>
  </si>
  <si>
    <t>1526*</t>
  </si>
  <si>
    <t>1526**</t>
  </si>
  <si>
    <t>1526-11-05*</t>
  </si>
  <si>
    <t>1542 May</t>
  </si>
  <si>
    <t>1542-05-16</t>
  </si>
  <si>
    <t>1544-05-28</t>
  </si>
  <si>
    <t>1545 Mar</t>
  </si>
  <si>
    <t>1545-03-27</t>
  </si>
  <si>
    <t>1546 Apr</t>
  </si>
  <si>
    <t>1546-04-01</t>
  </si>
  <si>
    <t>1549 Jan</t>
  </si>
  <si>
    <t>1549-01-24</t>
  </si>
  <si>
    <t>1549-04-12</t>
  </si>
  <si>
    <t>1550 Dec</t>
  </si>
  <si>
    <t>1550-02-01</t>
  </si>
  <si>
    <t>1551 Oct</t>
  </si>
  <si>
    <t>1551-04-14</t>
  </si>
  <si>
    <t>1551-10-05</t>
  </si>
  <si>
    <t>1553 Aug</t>
  </si>
  <si>
    <t>1553-06-11**</t>
  </si>
  <si>
    <t>1553-08-20*</t>
  </si>
  <si>
    <t>1560 Dec</t>
  </si>
  <si>
    <t>1560-11-08</t>
  </si>
  <si>
    <t>1572 Apr</t>
  </si>
  <si>
    <t>1578 Sept</t>
  </si>
  <si>
    <t>1578-09-15*</t>
  </si>
  <si>
    <t>1583 Jan</t>
  </si>
  <si>
    <t>1583-01-30</t>
  </si>
  <si>
    <t>1593 Jun</t>
  </si>
  <si>
    <t>1601 Jul</t>
  </si>
  <si>
    <t>1601-01-11*</t>
  </si>
  <si>
    <t>1601-07-29*</t>
  </si>
  <si>
    <t>1604 Nov</t>
  </si>
  <si>
    <t>1605 Jul</t>
  </si>
  <si>
    <t>1612 May</t>
  </si>
  <si>
    <t>1623 July</t>
  </si>
  <si>
    <t>1626 Aug</t>
  </si>
  <si>
    <t>1626 Nov</t>
  </si>
  <si>
    <t>1626-08-14*</t>
  </si>
  <si>
    <t>1626-11-08</t>
  </si>
  <si>
    <t>1649 July</t>
  </si>
  <si>
    <t>1660 Jul</t>
  </si>
  <si>
    <t>1663 Dec</t>
  </si>
  <si>
    <t>1686 Jul</t>
  </si>
  <si>
    <t>1696 Apr</t>
  </si>
  <si>
    <t>1696 Feb</t>
  </si>
  <si>
    <t>1699 May</t>
  </si>
  <si>
    <t>1700-12-23</t>
  </si>
  <si>
    <t>1703 Jan</t>
  </si>
  <si>
    <t>1718 May</t>
  </si>
  <si>
    <t>1770 Nov</t>
  </si>
  <si>
    <t>1815 Aug</t>
  </si>
  <si>
    <t>1817 Feb</t>
  </si>
  <si>
    <t>1817-02-06</t>
  </si>
  <si>
    <t>21s 0d to a Tower pound of 10 oz silver and 2 oz copper = 23s 4d to a Tower pound of sterling fineness</t>
  </si>
  <si>
    <t>24 carats)</t>
  </si>
  <si>
    <t>349.9144 g.</t>
  </si>
  <si>
    <t>349.9144375 g.</t>
  </si>
  <si>
    <t>373.242 g.</t>
  </si>
  <si>
    <t>5760 grains</t>
  </si>
  <si>
    <t>all silver coins proportional by weight and henceforth</t>
  </si>
  <si>
    <t>Alloyed</t>
  </si>
  <si>
    <t>ALTERATIONS OF THE ENGLISH GOLD COINAGE, 1257 - 1526</t>
  </si>
  <si>
    <t>ALTERATIONS OF THE ENGLISH GOLD COINAGE, 1257 - 1815</t>
  </si>
  <si>
    <t>ALTERATIONS OF THE ENGLISH SILVER COINAGE, 1257 - 1526</t>
  </si>
  <si>
    <t>Angel-Noble</t>
  </si>
  <si>
    <t>Challis: "same standard as old sterlings and of like weight."</t>
  </si>
  <si>
    <t>Coin</t>
  </si>
  <si>
    <t xml:space="preserve">Coin </t>
  </si>
  <si>
    <t>Coin in</t>
  </si>
  <si>
    <t>Coin per</t>
  </si>
  <si>
    <t>Coinage undertaken at the crown's expense: no mint charges</t>
  </si>
  <si>
    <t>Content</t>
  </si>
  <si>
    <t>Crown</t>
  </si>
  <si>
    <t>Date</t>
  </si>
  <si>
    <t>day</t>
  </si>
  <si>
    <t>decimal</t>
  </si>
  <si>
    <t>Decreed Nov. 1411: took effect on Easter 1412</t>
  </si>
  <si>
    <t>Double Crown</t>
  </si>
  <si>
    <t>Double Florin</t>
  </si>
  <si>
    <t>ENGLISH SILVER COINAGES</t>
  </si>
  <si>
    <t>extra</t>
  </si>
  <si>
    <t>Fine (out of</t>
  </si>
  <si>
    <t>Fineness</t>
  </si>
  <si>
    <t>Fineness in</t>
  </si>
  <si>
    <t>Fineness:</t>
  </si>
  <si>
    <t>For silver coins of 8s, 4s, 2s, and 1s (testoon)</t>
  </si>
  <si>
    <t>Gold</t>
  </si>
  <si>
    <t>Gold penny</t>
  </si>
  <si>
    <t>Gold:</t>
  </si>
  <si>
    <t>grains</t>
  </si>
  <si>
    <t>grains (12)</t>
  </si>
  <si>
    <t>grains (4):</t>
  </si>
  <si>
    <t>Grams of</t>
  </si>
  <si>
    <t>Guinea</t>
  </si>
  <si>
    <t>Half Guinea</t>
  </si>
  <si>
    <t>Half-Crown</t>
  </si>
  <si>
    <t>in</t>
  </si>
  <si>
    <t>In 1526, the royal mints switched from the Tower pound of 349.9144 grams to the Troy pound of 373.242 grams</t>
  </si>
  <si>
    <t>In 1526, the royal mints switched from the Tower Pound of 349.9144 grams to the Troy Pound of 373.242 grams</t>
  </si>
  <si>
    <t>in Carats</t>
  </si>
  <si>
    <t>in dwt</t>
  </si>
  <si>
    <t>in grams</t>
  </si>
  <si>
    <t>in lb. sterl</t>
  </si>
  <si>
    <t>in lb. sterl.</t>
  </si>
  <si>
    <t>in oz.</t>
  </si>
  <si>
    <t>in pence</t>
  </si>
  <si>
    <t>in Penny</t>
  </si>
  <si>
    <t>in Silver</t>
  </si>
  <si>
    <t xml:space="preserve">in Sterling </t>
  </si>
  <si>
    <t>in the penny</t>
  </si>
  <si>
    <t>in the Pound</t>
  </si>
  <si>
    <t>in the Tower</t>
  </si>
  <si>
    <t>in Troy</t>
  </si>
  <si>
    <t>increased by 2d to be given to the merchants (higher mint price)</t>
  </si>
  <si>
    <t>Index</t>
  </si>
  <si>
    <t>Index of</t>
  </si>
  <si>
    <t>Index:</t>
  </si>
  <si>
    <t>Kilogram</t>
  </si>
  <si>
    <t>Method 1</t>
  </si>
  <si>
    <t>Method 2</t>
  </si>
  <si>
    <t>Name</t>
  </si>
  <si>
    <t xml:space="preserve">No pence were coined from 1335 to 1344, but only half-pence and farthings: </t>
  </si>
  <si>
    <t>No. Cut to</t>
  </si>
  <si>
    <t>No. of Pence</t>
  </si>
  <si>
    <t>No. Pence</t>
  </si>
  <si>
    <t>Noble</t>
  </si>
  <si>
    <t>Nominal</t>
  </si>
  <si>
    <t xml:space="preserve">Nominal </t>
  </si>
  <si>
    <t>Nominal Value</t>
  </si>
  <si>
    <t>Notes:</t>
  </si>
  <si>
    <t>of a Tower  lb</t>
  </si>
  <si>
    <t>of penny</t>
  </si>
  <si>
    <t>of Penny</t>
  </si>
  <si>
    <t>of Silver 0.925 fine</t>
  </si>
  <si>
    <t>of the</t>
  </si>
  <si>
    <t>Official</t>
  </si>
  <si>
    <t>Official Value of the Coin in:</t>
  </si>
  <si>
    <t>out of</t>
  </si>
  <si>
    <t>pence</t>
  </si>
  <si>
    <t>penny in</t>
  </si>
  <si>
    <t>Percentage</t>
  </si>
  <si>
    <t>Pound</t>
  </si>
  <si>
    <t>Pure Gold</t>
  </si>
  <si>
    <t>pure silver</t>
  </si>
  <si>
    <t>Pure Silver</t>
  </si>
  <si>
    <t>Quarter Guinea</t>
  </si>
  <si>
    <t>Ratio</t>
  </si>
  <si>
    <t>Ratios</t>
  </si>
  <si>
    <t>Rose Ryal</t>
  </si>
  <si>
    <t>Ryal, Rose Noble</t>
  </si>
  <si>
    <t>See below for 1553</t>
  </si>
  <si>
    <t>See below for 1601</t>
  </si>
  <si>
    <t>shillings</t>
  </si>
  <si>
    <t>Shillings</t>
  </si>
  <si>
    <t>Silver</t>
  </si>
  <si>
    <t xml:space="preserve">Silver </t>
  </si>
  <si>
    <t>Sovereign</t>
  </si>
  <si>
    <t>Special Remarks</t>
  </si>
  <si>
    <t>Spur Ryal</t>
  </si>
  <si>
    <t>St. George Noble</t>
  </si>
  <si>
    <t>Sterling</t>
  </si>
  <si>
    <t>Sterling fineness: 11 oz 2 dwt of pure silver and 18 dwt of copper = 92.5% pure silver</t>
  </si>
  <si>
    <t>Struck at this slightly reduced rate until 22 August 1582</t>
  </si>
  <si>
    <t>temporary aberration: to November 1626</t>
  </si>
  <si>
    <t>the coin</t>
  </si>
  <si>
    <t>The gold penny of Henry III was abortive, did not circulate, because it was so undervalued</t>
  </si>
  <si>
    <t>the Pound</t>
  </si>
  <si>
    <t>Thistle Crown</t>
  </si>
  <si>
    <t>to the Tower</t>
  </si>
  <si>
    <t xml:space="preserve">to Tower </t>
  </si>
  <si>
    <t>to Troy</t>
  </si>
  <si>
    <t xml:space="preserve">Tower </t>
  </si>
  <si>
    <t>Tower lb.</t>
  </si>
  <si>
    <t>Tower Pound</t>
  </si>
  <si>
    <t>Tower/</t>
  </si>
  <si>
    <t>Troy grains</t>
  </si>
  <si>
    <t>Troy lb.</t>
  </si>
  <si>
    <t>Troy Pound</t>
  </si>
  <si>
    <t>Troy*</t>
  </si>
  <si>
    <t>Unite</t>
  </si>
  <si>
    <t>Up to 40,000 lb. fine silver to be coined into 3 oz silver</t>
  </si>
  <si>
    <t>Value in</t>
  </si>
  <si>
    <t>Value of</t>
  </si>
  <si>
    <t xml:space="preserve">Value of </t>
  </si>
  <si>
    <t>Value of 1 kg</t>
  </si>
  <si>
    <t>Value of kg.</t>
  </si>
  <si>
    <t>Values</t>
  </si>
  <si>
    <t>Weight</t>
  </si>
  <si>
    <t>Weight of</t>
  </si>
  <si>
    <t>Weights in Tower lb. of 349.9144 grams = 11.025 oz Troy</t>
  </si>
  <si>
    <t>Weights in Troy lb. (12 oz.) of 373.242 grams</t>
  </si>
  <si>
    <t>Year-month-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</si>
</sst>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#,##0.000"/>
    <numFmt numFmtId="167" formatCode="0.000"/>
    <numFmt numFmtId="168" formatCode="0.0"/>
    <numFmt numFmtId="169" formatCode="0.000%"/>
    <numFmt numFmtId="170" formatCode="0.0000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0" applyNumberFormat="0" applyBorder="0" applyAlignment="0" applyProtection="0"/>
    <xf numFmtId="0" fontId="21" fillId="28" borderId="1" applyNumberFormat="0" applyAlignment="0" applyProtection="0"/>
    <xf numFmtId="0" fontId="22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23" fillId="0" borderId="0" applyNumberFormat="0" applyFill="0" applyBorder="0" applyAlignment="0" applyProtection="0"/>
    <xf numFmtId="2" fontId="0" fillId="2" borderId="0">
      <alignment/>
      <protection/>
    </xf>
    <xf numFmtId="0" fontId="24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1" borderId="1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0" fontId="0" fillId="33" borderId="5" applyNumberFormat="0" applyFont="0" applyAlignment="0" applyProtection="0"/>
    <xf numFmtId="0" fontId="29" fillId="28" borderId="6" applyNumberFormat="0" applyAlignment="0" applyProtection="0"/>
    <xf numFmtId="10" fontId="0" fillId="2" borderId="0">
      <alignment/>
      <protection/>
    </xf>
    <xf numFmtId="0" fontId="30" fillId="0" borderId="0" applyNumberFormat="0" applyFill="0" applyBorder="0" applyAlignment="0" applyProtection="0"/>
    <xf numFmtId="0" fontId="0" fillId="2" borderId="7">
      <alignment/>
      <protection/>
    </xf>
    <xf numFmtId="0" fontId="31" fillId="0" borderId="0" applyNumberFormat="0" applyFill="0" applyBorder="0" applyAlignment="0" applyProtection="0"/>
  </cellStyleXfs>
  <cellXfs count="23"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10" fontId="0" fillId="2" borderId="0" xfId="0" applyNumberFormat="1" applyFill="1" applyAlignment="1">
      <alignment/>
    </xf>
    <xf numFmtId="10" fontId="3" fillId="2" borderId="0" xfId="0" applyNumberFormat="1" applyFont="1" applyFill="1" applyAlignment="1">
      <alignment/>
    </xf>
    <xf numFmtId="0" fontId="3" fillId="2" borderId="0" xfId="0" applyFont="1" applyFill="1" applyAlignment="1">
      <alignment horizontal="left"/>
    </xf>
    <xf numFmtId="167" fontId="0" fillId="2" borderId="0" xfId="0" applyNumberFormat="1" applyFill="1" applyAlignment="1">
      <alignment horizontal="right"/>
    </xf>
    <xf numFmtId="0" fontId="0" fillId="2" borderId="0" xfId="0" applyFill="1" applyAlignment="1">
      <alignment horizontal="left"/>
    </xf>
    <xf numFmtId="2" fontId="0" fillId="2" borderId="0" xfId="0" applyNumberFormat="1" applyFill="1" applyAlignment="1">
      <alignment/>
    </xf>
    <xf numFmtId="167" fontId="0" fillId="0" borderId="0" xfId="0" applyNumberFormat="1" applyAlignment="1">
      <alignment/>
    </xf>
    <xf numFmtId="167" fontId="0" fillId="2" borderId="0" xfId="0" applyNumberFormat="1" applyFill="1" applyAlignment="1">
      <alignment/>
    </xf>
    <xf numFmtId="168" fontId="0" fillId="2" borderId="0" xfId="0" applyNumberFormat="1" applyFill="1" applyAlignment="1">
      <alignment/>
    </xf>
    <xf numFmtId="168" fontId="3" fillId="2" borderId="0" xfId="0" applyNumberFormat="1" applyFont="1" applyFill="1" applyAlignment="1">
      <alignment/>
    </xf>
    <xf numFmtId="167" fontId="3" fillId="2" borderId="0" xfId="0" applyNumberFormat="1" applyFont="1" applyFill="1" applyAlignment="1">
      <alignment/>
    </xf>
    <xf numFmtId="2" fontId="3" fillId="2" borderId="0" xfId="0" applyNumberFormat="1" applyFont="1" applyFill="1" applyAlignment="1">
      <alignment/>
    </xf>
    <xf numFmtId="167" fontId="3" fillId="2" borderId="0" xfId="0" applyNumberFormat="1" applyFont="1" applyFill="1" applyAlignment="1">
      <alignment horizontal="center"/>
    </xf>
    <xf numFmtId="169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1" fontId="3" fillId="2" borderId="0" xfId="0" applyNumberFormat="1" applyFont="1" applyFill="1" applyAlignment="1">
      <alignment/>
    </xf>
    <xf numFmtId="169" fontId="3" fillId="2" borderId="0" xfId="0" applyNumberFormat="1" applyFont="1" applyFill="1" applyAlignment="1">
      <alignment/>
    </xf>
    <xf numFmtId="170" fontId="0" fillId="2" borderId="0" xfId="0" applyNumberFormat="1" applyFill="1" applyAlignment="1">
      <alignment/>
    </xf>
    <xf numFmtId="170" fontId="3" fillId="2" borderId="0" xfId="0" applyNumberFormat="1" applyFont="1" applyFill="1" applyAlignment="1">
      <alignment/>
    </xf>
    <xf numFmtId="170" fontId="3" fillId="2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71FFFF"/>
      <rgbColor rgb="00FF0000"/>
      <rgbColor rgb="00FFFF00"/>
      <rgbColor rgb="0000FF00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43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9.140625" defaultRowHeight="12.75"/>
  <cols>
    <col min="1" max="1" width="11.421875" style="5" customWidth="1"/>
    <col min="2" max="2" width="11.421875" style="6" customWidth="1"/>
    <col min="3" max="3" width="13.28125" style="11" customWidth="1"/>
    <col min="4" max="4" width="9.421875" style="10" customWidth="1"/>
    <col min="5" max="6" width="11.8515625" style="10" customWidth="1"/>
    <col min="7" max="7" width="11.8515625" style="3" customWidth="1"/>
    <col min="8" max="8" width="18.57421875" style="0" customWidth="1"/>
    <col min="9" max="9" width="7.00390625" style="0" customWidth="1"/>
    <col min="10" max="10" width="12.140625" style="10" customWidth="1"/>
    <col min="11" max="11" width="10.28125" style="8" customWidth="1"/>
    <col min="12" max="12" width="12.421875" style="0" customWidth="1"/>
    <col min="13" max="13" width="7.28125" style="10" customWidth="1"/>
  </cols>
  <sheetData>
    <row r="1" spans="2:11" ht="12.75">
      <c r="B1" s="7"/>
      <c r="C1" s="1" t="s">
        <v>106</v>
      </c>
      <c r="K1" s="1"/>
    </row>
    <row r="3" spans="1:13" ht="12.75">
      <c r="A3" s="5" t="s">
        <v>116</v>
      </c>
      <c r="B3" s="15" t="s">
        <v>127</v>
      </c>
      <c r="C3" s="12" t="s">
        <v>166</v>
      </c>
      <c r="D3" s="13" t="s">
        <v>230</v>
      </c>
      <c r="E3" s="13" t="s">
        <v>135</v>
      </c>
      <c r="F3" s="13" t="s">
        <v>135</v>
      </c>
      <c r="G3" s="4" t="s">
        <v>183</v>
      </c>
      <c r="H3" s="1" t="s">
        <v>171</v>
      </c>
      <c r="I3" s="1"/>
      <c r="J3" s="13" t="s">
        <v>169</v>
      </c>
      <c r="K3" s="14" t="s">
        <v>159</v>
      </c>
      <c r="L3" s="13" t="s">
        <v>169</v>
      </c>
      <c r="M3" s="13" t="s">
        <v>131</v>
      </c>
    </row>
    <row r="4" spans="2:13" ht="12.75">
      <c r="B4" s="2" t="s">
        <v>180</v>
      </c>
      <c r="C4" s="12" t="s">
        <v>211</v>
      </c>
      <c r="D4" s="13" t="s">
        <v>175</v>
      </c>
      <c r="E4" s="13" t="s">
        <v>187</v>
      </c>
      <c r="F4" s="13" t="s">
        <v>187</v>
      </c>
      <c r="G4" s="4" t="s">
        <v>177</v>
      </c>
      <c r="H4" s="1" t="s">
        <v>173</v>
      </c>
      <c r="I4" s="1"/>
      <c r="J4" s="13" t="s">
        <v>228</v>
      </c>
      <c r="K4" s="14" t="s">
        <v>30</v>
      </c>
      <c r="L4" s="13" t="s">
        <v>228</v>
      </c>
      <c r="M4" s="13" t="s">
        <v>198</v>
      </c>
    </row>
    <row r="5" spans="2:13" ht="12.75">
      <c r="B5" s="15">
        <v>1</v>
      </c>
      <c r="C5" s="12" t="s">
        <v>184</v>
      </c>
      <c r="D5" s="13" t="s">
        <v>144</v>
      </c>
      <c r="E5" s="13" t="s">
        <v>152</v>
      </c>
      <c r="F5" s="13" t="s">
        <v>154</v>
      </c>
      <c r="G5" s="4" t="s">
        <v>214</v>
      </c>
      <c r="H5" s="1" t="s">
        <v>176</v>
      </c>
      <c r="I5" s="1"/>
      <c r="J5" s="13" t="s">
        <v>187</v>
      </c>
      <c r="K5" s="14">
        <f>100</f>
        <v>100</v>
      </c>
      <c r="L5" s="13" t="s">
        <v>185</v>
      </c>
      <c r="M5" s="13" t="s">
        <v>189</v>
      </c>
    </row>
    <row r="6" spans="2:12" ht="12.75">
      <c r="B6" s="15"/>
      <c r="C6" s="12" t="s">
        <v>98</v>
      </c>
      <c r="D6" s="13"/>
      <c r="E6" s="13"/>
      <c r="F6" s="13" t="s">
        <v>184</v>
      </c>
      <c r="G6" s="4" t="s">
        <v>184</v>
      </c>
      <c r="H6" s="1" t="s">
        <v>195</v>
      </c>
      <c r="I6" s="1" t="s">
        <v>181</v>
      </c>
      <c r="J6" s="13" t="s">
        <v>1</v>
      </c>
      <c r="K6" s="14"/>
      <c r="L6" s="13" t="s">
        <v>1</v>
      </c>
    </row>
    <row r="8" spans="1:13" ht="12.75">
      <c r="A8" s="5">
        <v>1257</v>
      </c>
      <c r="B8" s="6">
        <v>0.926</v>
      </c>
      <c r="C8" s="11">
        <v>242</v>
      </c>
      <c r="D8" s="10">
        <f>349.9144/C8</f>
        <v>1.4459272727272727</v>
      </c>
      <c r="E8" s="10">
        <f>D8*B8</f>
        <v>1.3389286545454546</v>
      </c>
      <c r="F8" s="10">
        <f>E8*240</f>
        <v>321.3428770909091</v>
      </c>
      <c r="G8" s="3">
        <f>F8/349.9144</f>
        <v>0.9183471074380165</v>
      </c>
      <c r="H8">
        <v>20</v>
      </c>
      <c r="I8">
        <v>2</v>
      </c>
      <c r="J8" s="10">
        <f>(1000/349.9144/0.926)*(C8/240)</f>
        <v>3.1119407688538745</v>
      </c>
      <c r="K8" s="8">
        <f>(J8/$J$22)*100</f>
        <v>80.57955363570913</v>
      </c>
      <c r="L8" s="10">
        <v>28.967442651146854</v>
      </c>
      <c r="M8" s="10">
        <f>L8/J8</f>
        <v>9.308481363485443</v>
      </c>
    </row>
    <row r="10" spans="1:12" ht="12.75">
      <c r="A10" s="5" t="s">
        <v>11</v>
      </c>
      <c r="B10" s="6">
        <v>0.925</v>
      </c>
      <c r="C10" s="11">
        <v>243</v>
      </c>
      <c r="D10" s="10">
        <f>349.9144/C10</f>
        <v>1.4399769547325103</v>
      </c>
      <c r="E10" s="10">
        <f>D10*B10</f>
        <v>1.3319786831275722</v>
      </c>
      <c r="F10" s="10">
        <f>E10*240</f>
        <v>319.6748839506173</v>
      </c>
      <c r="G10" s="3">
        <f>F10/349.9144</f>
        <v>0.9135802469135803</v>
      </c>
      <c r="H10">
        <v>20</v>
      </c>
      <c r="I10">
        <v>3</v>
      </c>
      <c r="J10" s="10">
        <f>(1000/349.9144/0.925)*(C10/240)</f>
        <v>3.128178190421984</v>
      </c>
      <c r="K10" s="8">
        <f>(J10/$J$22)*100</f>
        <v>81</v>
      </c>
      <c r="L10" s="10"/>
    </row>
    <row r="11" ht="12.75">
      <c r="A11" s="5" t="s">
        <v>4</v>
      </c>
    </row>
    <row r="12" spans="1:11" ht="12.75">
      <c r="A12" s="5" t="s">
        <v>13</v>
      </c>
      <c r="B12" s="6">
        <v>0.833</v>
      </c>
      <c r="C12" s="11">
        <v>252</v>
      </c>
      <c r="D12" s="10">
        <f>349.9144/C12</f>
        <v>1.3885492063492064</v>
      </c>
      <c r="E12" s="10">
        <f>D12*B12</f>
        <v>1.1566614888888889</v>
      </c>
      <c r="F12" s="10">
        <f>E12*240</f>
        <v>277.5987573333333</v>
      </c>
      <c r="G12" s="3">
        <f>F12/349.9144</f>
        <v>0.7933333333333332</v>
      </c>
      <c r="H12">
        <v>23</v>
      </c>
      <c r="I12">
        <v>4</v>
      </c>
      <c r="J12" s="10">
        <f>(1000/349.9144/0.833)*(C12/240)</f>
        <v>3.6023216011706642</v>
      </c>
      <c r="K12" s="8">
        <f>(J12/$J$22)*100</f>
        <v>93.27731092436977</v>
      </c>
    </row>
    <row r="14" spans="1:13" ht="12.75">
      <c r="A14" s="5" t="s">
        <v>19</v>
      </c>
      <c r="B14" s="6">
        <v>0.925</v>
      </c>
      <c r="C14" s="11">
        <v>270</v>
      </c>
      <c r="D14" s="10">
        <f>349.9144/C14</f>
        <v>1.2959792592592592</v>
      </c>
      <c r="E14" s="10">
        <f>D14*B14</f>
        <v>1.1987808148148147</v>
      </c>
      <c r="F14" s="10">
        <f>E14*240</f>
        <v>287.70739555555554</v>
      </c>
      <c r="G14" s="3">
        <f>F14/349.9144</f>
        <v>0.8222222222222222</v>
      </c>
      <c r="H14">
        <v>22</v>
      </c>
      <c r="I14">
        <v>6</v>
      </c>
      <c r="J14" s="10">
        <f>(1000/349.9144/0.925)*(C14/240)</f>
        <v>3.475753544913316</v>
      </c>
      <c r="K14" s="8">
        <f>(J14/$J$22)*100</f>
        <v>90</v>
      </c>
      <c r="L14" s="10">
        <v>43.09206344798705</v>
      </c>
      <c r="M14" s="10">
        <f>L14/J14</f>
        <v>12.39790534373511</v>
      </c>
    </row>
    <row r="16" spans="1:13" ht="12.75">
      <c r="A16" s="5" t="s">
        <v>18</v>
      </c>
      <c r="B16" s="6">
        <v>0.925</v>
      </c>
      <c r="C16" s="11">
        <v>266</v>
      </c>
      <c r="D16" s="10">
        <f>349.9144/C16</f>
        <v>1.3154676691729323</v>
      </c>
      <c r="E16" s="10">
        <f>D16*B16</f>
        <v>1.2168075939849625</v>
      </c>
      <c r="F16" s="10">
        <f>E16*240</f>
        <v>292.033822556391</v>
      </c>
      <c r="G16" s="3">
        <f>F16/349.9144</f>
        <v>0.8345864661654135</v>
      </c>
      <c r="H16">
        <v>22</v>
      </c>
      <c r="I16">
        <v>2</v>
      </c>
      <c r="J16" s="10">
        <f>(1000/349.9144/0.925)*(C16/240)</f>
        <v>3.4242608998034894</v>
      </c>
      <c r="K16" s="8">
        <f>(J16/$J$22)*100</f>
        <v>88.66666666666669</v>
      </c>
      <c r="L16" s="10">
        <v>34.04273012390977</v>
      </c>
      <c r="M16" s="10">
        <f>L16/J16</f>
        <v>9.941628608340972</v>
      </c>
    </row>
    <row r="18" spans="1:13" ht="12.75">
      <c r="A18" s="5" t="s">
        <v>22</v>
      </c>
      <c r="B18" s="6">
        <v>0.925</v>
      </c>
      <c r="C18" s="11">
        <v>268</v>
      </c>
      <c r="D18" s="10">
        <f>349.9144/C18</f>
        <v>1.3056507462686566</v>
      </c>
      <c r="E18" s="10">
        <f>D18*B18</f>
        <v>1.2077269402985074</v>
      </c>
      <c r="F18" s="10">
        <f>E18*240</f>
        <v>289.8544656716418</v>
      </c>
      <c r="G18" s="3">
        <f>F18/349.9144</f>
        <v>0.8283582089552238</v>
      </c>
      <c r="H18">
        <v>22</v>
      </c>
      <c r="I18">
        <v>4</v>
      </c>
      <c r="J18" s="10">
        <f>(1000/349.9144/0.925)*(C18/240)</f>
        <v>3.4500072223584026</v>
      </c>
      <c r="K18" s="8">
        <f>(J18/$J$22)*100</f>
        <v>89.33333333333334</v>
      </c>
      <c r="L18" s="10">
        <v>34.04273012390977</v>
      </c>
      <c r="M18" s="10">
        <f>L18/J18</f>
        <v>9.867437350069771</v>
      </c>
    </row>
    <row r="20" spans="1:13" ht="12.75">
      <c r="A20" s="5" t="s">
        <v>24</v>
      </c>
      <c r="B20" s="6">
        <v>0.925</v>
      </c>
      <c r="C20" s="11">
        <v>270</v>
      </c>
      <c r="D20" s="10">
        <f>349.9144/C20</f>
        <v>1.2959792592592592</v>
      </c>
      <c r="E20" s="10">
        <f>D20*B20</f>
        <v>1.1987808148148147</v>
      </c>
      <c r="F20" s="10">
        <f>E20*240</f>
        <v>287.70739555555554</v>
      </c>
      <c r="G20" s="3">
        <f>F20/349.9144</f>
        <v>0.8222222222222222</v>
      </c>
      <c r="H20">
        <v>22</v>
      </c>
      <c r="I20">
        <v>6</v>
      </c>
      <c r="J20" s="10">
        <f>(1000/349.9144/0.925)*(C20/240)</f>
        <v>3.475753544913316</v>
      </c>
      <c r="K20" s="8">
        <f>(J20/$J$22)*100</f>
        <v>90</v>
      </c>
      <c r="L20" s="10">
        <v>36.197333296309125</v>
      </c>
      <c r="M20" s="10">
        <f>L20/J20</f>
        <v>10.414240488737493</v>
      </c>
    </row>
    <row r="22" spans="1:13" ht="12.75">
      <c r="A22" s="5" t="s">
        <v>28</v>
      </c>
      <c r="B22" s="6">
        <v>0.925</v>
      </c>
      <c r="C22" s="11">
        <v>300</v>
      </c>
      <c r="D22" s="10">
        <f>349.9144/C22</f>
        <v>1.1663813333333333</v>
      </c>
      <c r="E22" s="10">
        <f>D22*B22</f>
        <v>1.0789027333333334</v>
      </c>
      <c r="F22" s="10">
        <f>E22*240</f>
        <v>258.936656</v>
      </c>
      <c r="G22" s="3">
        <f>F22/349.9144</f>
        <v>0.7400000000000001</v>
      </c>
      <c r="H22">
        <v>25</v>
      </c>
      <c r="I22">
        <v>0</v>
      </c>
      <c r="J22" s="10">
        <f>(1000/349.9144/0.925)*(C22/240)</f>
        <v>3.8619483832370176</v>
      </c>
      <c r="K22" s="8">
        <f>(J22/$J$22)*100</f>
        <v>100</v>
      </c>
      <c r="L22" s="10">
        <v>38.78285710318835</v>
      </c>
      <c r="M22" s="10">
        <f>L22/J22</f>
        <v>10.04230332842544</v>
      </c>
    </row>
    <row r="24" spans="1:13" ht="12.75">
      <c r="A24" s="5" t="s">
        <v>32</v>
      </c>
      <c r="B24" s="6">
        <v>0.925</v>
      </c>
      <c r="C24" s="11">
        <v>360</v>
      </c>
      <c r="D24" s="10">
        <f>349.9144/C24</f>
        <v>0.9719844444444444</v>
      </c>
      <c r="E24" s="10">
        <f>D24*B24</f>
        <v>0.8990856111111112</v>
      </c>
      <c r="F24" s="10">
        <f>E24*240</f>
        <v>215.78054666666668</v>
      </c>
      <c r="G24" s="3">
        <f>F24/349.9144</f>
        <v>0.6166666666666667</v>
      </c>
      <c r="H24">
        <v>30</v>
      </c>
      <c r="I24">
        <v>0</v>
      </c>
      <c r="J24" s="10">
        <f>(1000/349.9144/0.925)*(C24/240)</f>
        <v>4.6343380598844215</v>
      </c>
      <c r="K24" s="8">
        <f>(J24/$J$22)*100</f>
        <v>120.00000000000001</v>
      </c>
      <c r="L24" s="10">
        <v>43.09206344798705</v>
      </c>
      <c r="M24" s="10">
        <f>L24/J24</f>
        <v>9.298429007801332</v>
      </c>
    </row>
    <row r="26" spans="1:13" ht="12.75">
      <c r="A26" s="5" t="s">
        <v>35</v>
      </c>
      <c r="B26" s="6">
        <v>0.925</v>
      </c>
      <c r="C26" s="11">
        <v>450</v>
      </c>
      <c r="D26" s="10">
        <f>349.9144/C26</f>
        <v>0.7775875555555556</v>
      </c>
      <c r="E26" s="10">
        <f>D26*B26</f>
        <v>0.719268488888889</v>
      </c>
      <c r="F26" s="10">
        <f>E26*240</f>
        <v>172.62443733333333</v>
      </c>
      <c r="G26" s="3">
        <f>F26/349.9144</f>
        <v>0.49333333333333335</v>
      </c>
      <c r="H26">
        <v>37</v>
      </c>
      <c r="I26">
        <v>6</v>
      </c>
      <c r="J26" s="10">
        <f>(1000/349.9144/0.925)*(C26/240)</f>
        <v>5.792922574855527</v>
      </c>
      <c r="K26" s="8">
        <f>(J26/$J$22)*100</f>
        <v>150</v>
      </c>
      <c r="L26" s="10">
        <v>58.17428565478252</v>
      </c>
      <c r="M26" s="10">
        <f>L26/J26</f>
        <v>10.04230332842544</v>
      </c>
    </row>
    <row r="27" spans="2:13" ht="12.75">
      <c r="B27" s="6">
        <v>0.925</v>
      </c>
      <c r="C27" s="11">
        <v>450</v>
      </c>
      <c r="D27" s="10">
        <f>349.9144/C27</f>
        <v>0.7775875555555556</v>
      </c>
      <c r="E27" s="10">
        <f>D27*B27</f>
        <v>0.719268488888889</v>
      </c>
      <c r="F27" s="10">
        <f>E27*240</f>
        <v>172.62443733333333</v>
      </c>
      <c r="G27" s="3">
        <f>F27/349.9144</f>
        <v>0.49333333333333335</v>
      </c>
      <c r="H27">
        <v>37</v>
      </c>
      <c r="I27">
        <v>6</v>
      </c>
      <c r="J27" s="10">
        <f>(1000/349.9144/0.925)*(C27/240)</f>
        <v>5.792922574855527</v>
      </c>
      <c r="K27" s="8">
        <f>(J27/$J$22)*100</f>
        <v>150</v>
      </c>
      <c r="L27" s="10">
        <v>64.63809517198058</v>
      </c>
      <c r="M27" s="10">
        <f>L27/J27</f>
        <v>11.1581148093616</v>
      </c>
    </row>
    <row r="29" spans="1:13" ht="12.75">
      <c r="A29" s="5" t="s">
        <v>41</v>
      </c>
      <c r="B29" s="6">
        <v>0.925</v>
      </c>
      <c r="C29" s="11">
        <v>506.3</v>
      </c>
      <c r="D29" s="10">
        <f>349.9144/C29</f>
        <v>0.6911206794390677</v>
      </c>
      <c r="E29" s="10">
        <f>D29*B29</f>
        <v>0.6392866284811377</v>
      </c>
      <c r="F29" s="10">
        <f>E29*240</f>
        <v>153.42879083547305</v>
      </c>
      <c r="G29" s="3">
        <f>F29/349.9144</f>
        <v>0.4384752123247087</v>
      </c>
      <c r="H29">
        <v>42</v>
      </c>
      <c r="I29">
        <v>2</v>
      </c>
      <c r="J29" s="10">
        <f>(1000/349.9144/0.925)*(C29/240)</f>
        <v>6.517681554776341</v>
      </c>
      <c r="K29" s="8">
        <f>(J29/$J$22)*100</f>
        <v>168.76666666666668</v>
      </c>
      <c r="L29" s="10">
        <v>72.71785706847815</v>
      </c>
      <c r="M29" s="10">
        <f>L29/J29</f>
        <v>11.157012882163361</v>
      </c>
    </row>
    <row r="30" spans="2:13" ht="12.75">
      <c r="B30" s="6">
        <v>0.925</v>
      </c>
      <c r="C30" s="11">
        <v>506.3</v>
      </c>
      <c r="D30" s="10">
        <f>349.9144/C30</f>
        <v>0.6911206794390677</v>
      </c>
      <c r="E30" s="10">
        <f>D30*B30</f>
        <v>0.6392866284811377</v>
      </c>
      <c r="F30" s="10">
        <f>E30*240</f>
        <v>153.42879083547305</v>
      </c>
      <c r="G30" s="3">
        <f>F30/349.9144</f>
        <v>0.4384752123247087</v>
      </c>
      <c r="H30">
        <v>42</v>
      </c>
      <c r="I30">
        <v>2</v>
      </c>
      <c r="J30" s="10">
        <f>(1000/349.9144/0.925)*(C30/240)</f>
        <v>6.517681554776341</v>
      </c>
      <c r="K30" s="8">
        <f>(J30/$J$22)*100</f>
        <v>168.76666666666668</v>
      </c>
      <c r="L30" s="10">
        <v>65.44607601557318</v>
      </c>
      <c r="M30" s="10">
        <f>L30/J30</f>
        <v>10.041312307995847</v>
      </c>
    </row>
    <row r="31" spans="2:13" ht="12.75">
      <c r="B31" s="6">
        <v>0.925</v>
      </c>
      <c r="C31" s="11">
        <v>506.3</v>
      </c>
      <c r="D31" s="10">
        <f>349.9144/C31</f>
        <v>0.6911206794390677</v>
      </c>
      <c r="E31" s="10">
        <f>D31*B31</f>
        <v>0.6392866284811377</v>
      </c>
      <c r="F31" s="10">
        <f>E31*240</f>
        <v>153.42879083547305</v>
      </c>
      <c r="G31" s="3">
        <f>F31/349.9144</f>
        <v>0.4384752123247087</v>
      </c>
      <c r="H31">
        <v>42</v>
      </c>
      <c r="I31">
        <v>2</v>
      </c>
      <c r="J31" s="10">
        <f>(1000/349.9144/0.925)*(C31/240)</f>
        <v>6.517681554776341</v>
      </c>
      <c r="K31" s="8">
        <f>(J31/$J$22)*100</f>
        <v>168.76666666666668</v>
      </c>
      <c r="L31" s="10">
        <v>72.71785706847815</v>
      </c>
      <c r="M31" s="10">
        <f>L31/J31</f>
        <v>11.157012882163361</v>
      </c>
    </row>
    <row r="34" ht="12.75">
      <c r="A34" s="5" t="s">
        <v>172</v>
      </c>
    </row>
    <row r="36" spans="1:2" ht="12.75">
      <c r="A36" s="5" t="s">
        <v>9</v>
      </c>
      <c r="B36" s="10" t="s">
        <v>208</v>
      </c>
    </row>
    <row r="38" spans="1:2" ht="12.75">
      <c r="A38" s="5" t="s">
        <v>14</v>
      </c>
      <c r="B38" s="10" t="s">
        <v>164</v>
      </c>
    </row>
    <row r="39" ht="12.75">
      <c r="B39" s="10" t="s">
        <v>96</v>
      </c>
    </row>
    <row r="41" spans="1:2" ht="12.75">
      <c r="A41" s="5" t="s">
        <v>43</v>
      </c>
      <c r="B41" s="10" t="s">
        <v>140</v>
      </c>
    </row>
    <row r="43" ht="12.75">
      <c r="B43" s="10" t="s">
        <v>204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S71"/>
  <sheetViews>
    <sheetView zoomScalePageLayoutView="0" workbookViewId="0" topLeftCell="A1">
      <pane xSplit="1" ySplit="7" topLeftCell="B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0" sqref="G20"/>
    </sheetView>
  </sheetViews>
  <sheetFormatPr defaultColWidth="9.140625" defaultRowHeight="12.75"/>
  <cols>
    <col min="1" max="1" width="13.7109375" style="5" customWidth="1"/>
    <col min="2" max="3" width="10.00390625" style="0" customWidth="1"/>
    <col min="4" max="4" width="10.00390625" style="20" customWidth="1"/>
    <col min="5" max="7" width="11.00390625" style="8" customWidth="1"/>
    <col min="8" max="8" width="9.8515625" style="20" customWidth="1"/>
    <col min="9" max="9" width="11.7109375" style="0" customWidth="1"/>
    <col min="10" max="10" width="9.28125" style="0" customWidth="1"/>
    <col min="11" max="11" width="11.00390625" style="0" customWidth="1"/>
    <col min="12" max="12" width="10.57421875" style="20" customWidth="1"/>
    <col min="13" max="13" width="11.140625" style="20" customWidth="1"/>
    <col min="14" max="14" width="11.421875" style="20" customWidth="1"/>
    <col min="15" max="15" width="7.8515625" style="8" customWidth="1"/>
    <col min="16" max="16" width="13.00390625" style="16" customWidth="1"/>
    <col min="17" max="17" width="13.57421875" style="16" customWidth="1"/>
    <col min="19" max="19" width="17.421875" style="0" customWidth="1"/>
  </cols>
  <sheetData>
    <row r="1" ht="12.75">
      <c r="B1" s="1" t="s">
        <v>122</v>
      </c>
    </row>
    <row r="3" spans="1:19" ht="12.75">
      <c r="A3" s="5" t="s">
        <v>116</v>
      </c>
      <c r="B3" s="1" t="s">
        <v>125</v>
      </c>
      <c r="C3" s="1" t="s">
        <v>125</v>
      </c>
      <c r="D3" s="21" t="s">
        <v>125</v>
      </c>
      <c r="E3" s="14" t="s">
        <v>167</v>
      </c>
      <c r="F3" s="14" t="s">
        <v>167</v>
      </c>
      <c r="G3" s="14" t="s">
        <v>231</v>
      </c>
      <c r="H3" s="21" t="s">
        <v>230</v>
      </c>
      <c r="I3" s="1" t="s">
        <v>135</v>
      </c>
      <c r="J3" s="1" t="s">
        <v>225</v>
      </c>
      <c r="K3" s="1" t="s">
        <v>209</v>
      </c>
      <c r="L3" s="21" t="s">
        <v>225</v>
      </c>
      <c r="M3" s="21" t="s">
        <v>225</v>
      </c>
      <c r="N3" s="21" t="s">
        <v>225</v>
      </c>
      <c r="O3" s="14" t="s">
        <v>157</v>
      </c>
      <c r="P3" s="19" t="s">
        <v>5</v>
      </c>
      <c r="Q3" s="19" t="s">
        <v>5</v>
      </c>
      <c r="S3" s="1" t="s">
        <v>200</v>
      </c>
    </row>
    <row r="4" spans="1:17" ht="12.75">
      <c r="A4" s="5" t="s">
        <v>234</v>
      </c>
      <c r="B4" s="1" t="s">
        <v>147</v>
      </c>
      <c r="C4" s="1" t="s">
        <v>143</v>
      </c>
      <c r="D4" s="21" t="s">
        <v>180</v>
      </c>
      <c r="E4" s="14" t="s">
        <v>212</v>
      </c>
      <c r="F4" s="14" t="s">
        <v>213</v>
      </c>
      <c r="G4" s="14" t="s">
        <v>182</v>
      </c>
      <c r="H4" s="21" t="s">
        <v>144</v>
      </c>
      <c r="I4" s="1" t="s">
        <v>187</v>
      </c>
      <c r="J4" s="1" t="s">
        <v>217</v>
      </c>
      <c r="K4" s="1" t="s">
        <v>221</v>
      </c>
      <c r="L4" s="21" t="s">
        <v>215</v>
      </c>
      <c r="M4" s="21" t="s">
        <v>219</v>
      </c>
      <c r="N4" s="21" t="s">
        <v>160</v>
      </c>
      <c r="O4" s="14" t="s">
        <v>27</v>
      </c>
      <c r="P4" s="19" t="s">
        <v>150</v>
      </c>
      <c r="Q4" s="19" t="s">
        <v>151</v>
      </c>
    </row>
    <row r="5" spans="1:17" ht="12.75">
      <c r="A5" s="5" t="s">
        <v>117</v>
      </c>
      <c r="B5" s="1"/>
      <c r="C5" s="1"/>
      <c r="D5" s="22">
        <v>1</v>
      </c>
      <c r="E5" s="14" t="s">
        <v>184</v>
      </c>
      <c r="F5" s="14" t="s">
        <v>184</v>
      </c>
      <c r="G5" s="14" t="s">
        <v>218</v>
      </c>
      <c r="H5" s="21" t="s">
        <v>174</v>
      </c>
      <c r="I5" s="1" t="s">
        <v>149</v>
      </c>
      <c r="J5" s="1" t="s">
        <v>103</v>
      </c>
      <c r="K5" s="1" t="s">
        <v>139</v>
      </c>
      <c r="L5" s="21" t="s">
        <v>3</v>
      </c>
      <c r="M5" s="21" t="s">
        <v>3</v>
      </c>
      <c r="N5" s="21" t="s">
        <v>186</v>
      </c>
      <c r="O5" s="14">
        <v>100</v>
      </c>
      <c r="P5" s="19" t="s">
        <v>114</v>
      </c>
      <c r="Q5" s="19" t="s">
        <v>227</v>
      </c>
    </row>
    <row r="6" spans="2:17" ht="12.75">
      <c r="B6" s="1"/>
      <c r="C6" s="1"/>
      <c r="D6" s="21"/>
      <c r="E6" s="14"/>
      <c r="F6" s="14"/>
      <c r="G6" s="14">
        <v>5760</v>
      </c>
      <c r="H6" s="21"/>
      <c r="I6" s="1"/>
      <c r="J6" s="1" t="s">
        <v>195</v>
      </c>
      <c r="K6" s="1" t="s">
        <v>181</v>
      </c>
      <c r="L6" s="21" t="s">
        <v>145</v>
      </c>
      <c r="M6" s="21" t="s">
        <v>146</v>
      </c>
      <c r="N6" s="21" t="s">
        <v>145</v>
      </c>
      <c r="O6" s="14"/>
      <c r="P6" s="19" t="s">
        <v>175</v>
      </c>
      <c r="Q6" s="19" t="s">
        <v>187</v>
      </c>
    </row>
    <row r="8" spans="1:19" ht="12.75">
      <c r="A8" s="5" t="s">
        <v>10</v>
      </c>
      <c r="B8">
        <v>11</v>
      </c>
      <c r="C8">
        <v>2</v>
      </c>
      <c r="D8" s="20">
        <f>(B8/12)+(C8/20)/12</f>
        <v>0.9249999999999999</v>
      </c>
      <c r="E8" s="8">
        <v>242</v>
      </c>
      <c r="F8" s="8">
        <f>E8*(373.242/349.9144)</f>
        <v>258.13331489072755</v>
      </c>
      <c r="G8" s="8">
        <f>5760/F8</f>
        <v>22.31405118102757</v>
      </c>
      <c r="H8" s="20">
        <f>349.9144/E8</f>
        <v>1.4459272727272727</v>
      </c>
      <c r="I8" s="20">
        <f>H8*D8</f>
        <v>1.3374827272727272</v>
      </c>
      <c r="J8">
        <v>20</v>
      </c>
      <c r="K8">
        <v>2</v>
      </c>
      <c r="L8" s="20">
        <f>E8*(0.925/D8)/240</f>
        <v>1.0083333333333335</v>
      </c>
      <c r="M8" s="20">
        <f>L8*(373.242/349.9144)</f>
        <v>1.075555478711365</v>
      </c>
      <c r="N8" s="20">
        <f>L8*(1/0.925)*1/0.3499144</f>
        <v>3.115305029144528</v>
      </c>
      <c r="O8" s="8">
        <f>N8/$N$22*100</f>
        <v>80.66666666666666</v>
      </c>
      <c r="S8" t="s">
        <v>232</v>
      </c>
    </row>
    <row r="9" ht="12.75">
      <c r="I9" s="20"/>
    </row>
    <row r="10" spans="1:17" ht="12.75">
      <c r="A10" s="5" t="s">
        <v>12</v>
      </c>
      <c r="B10">
        <v>11</v>
      </c>
      <c r="C10">
        <v>2</v>
      </c>
      <c r="D10" s="20">
        <f>(B10/12)+(C10/20)/12</f>
        <v>0.9249999999999999</v>
      </c>
      <c r="E10" s="8">
        <v>243</v>
      </c>
      <c r="F10" s="8">
        <f>E10*(373.242/349.9144)</f>
        <v>259.1999814811851</v>
      </c>
      <c r="G10" s="8">
        <f>5760/F10</f>
        <v>22.22222380991223</v>
      </c>
      <c r="H10" s="20">
        <f>349.9144/E10</f>
        <v>1.4399769547325103</v>
      </c>
      <c r="I10" s="20">
        <f>H10*D10</f>
        <v>1.331978683127572</v>
      </c>
      <c r="J10">
        <v>20</v>
      </c>
      <c r="K10">
        <v>3</v>
      </c>
      <c r="L10" s="20">
        <f>E10*(0.925/D10)/240</f>
        <v>1.0125000000000002</v>
      </c>
      <c r="M10" s="20">
        <f>L10*(373.242/349.9144)</f>
        <v>1.0799999228382715</v>
      </c>
      <c r="N10" s="20">
        <f>L10*(1/0.925)*1/0.3499144</f>
        <v>3.1281781904219845</v>
      </c>
      <c r="O10" s="8">
        <f>N10/$N$22*100</f>
        <v>81</v>
      </c>
      <c r="P10" s="16">
        <f>(I10-I8)/I8</f>
        <v>-0.004115226337448564</v>
      </c>
      <c r="Q10" s="16">
        <f>(N10-N8)/N8</f>
        <v>0.004132231404958648</v>
      </c>
    </row>
    <row r="11" ht="12.75">
      <c r="I11" s="20"/>
    </row>
    <row r="12" spans="1:19" ht="12.75">
      <c r="A12" s="5" t="s">
        <v>15</v>
      </c>
      <c r="B12">
        <v>10</v>
      </c>
      <c r="C12">
        <v>0</v>
      </c>
      <c r="D12" s="20">
        <f>(B12/12)+(C12/20)/12</f>
        <v>0.8333333333333334</v>
      </c>
      <c r="E12" s="8">
        <f>21*12</f>
        <v>252</v>
      </c>
      <c r="F12" s="8">
        <f>E12*(373.242/349.9144)</f>
        <v>268.79998079530304</v>
      </c>
      <c r="G12" s="8">
        <f>5760/F12</f>
        <v>21.42857295955822</v>
      </c>
      <c r="H12" s="20">
        <f>349.9144/E12</f>
        <v>1.3885492063492064</v>
      </c>
      <c r="I12" s="20">
        <f>H12*D12</f>
        <v>1.1571243386243388</v>
      </c>
      <c r="J12">
        <v>21</v>
      </c>
      <c r="K12">
        <v>0</v>
      </c>
      <c r="L12" s="20">
        <f>E12*(0.925/D12)/240</f>
        <v>1.1655000000000002</v>
      </c>
      <c r="M12" s="20">
        <f>L12*(373.242/349.9144)</f>
        <v>1.243199911178277</v>
      </c>
      <c r="N12" s="20">
        <f>L12*(1/0.925)*1/0.3499144</f>
        <v>3.6008806725301956</v>
      </c>
      <c r="O12" s="8">
        <f>N12/$N$22*100</f>
        <v>93.24</v>
      </c>
      <c r="P12" s="16">
        <f>(I12-I10)/I10</f>
        <v>-0.13127413127413107</v>
      </c>
      <c r="Q12" s="16">
        <f>(N12-N10)/N10</f>
        <v>0.15111111111111114</v>
      </c>
      <c r="S12" t="s">
        <v>6</v>
      </c>
    </row>
    <row r="13" ht="12.75">
      <c r="I13" s="20"/>
    </row>
    <row r="14" spans="1:19" ht="12.75">
      <c r="A14" s="5" t="s">
        <v>17</v>
      </c>
      <c r="B14">
        <v>11</v>
      </c>
      <c r="C14">
        <v>2</v>
      </c>
      <c r="D14" s="20">
        <f>(B14/12)+(C14/20)/12</f>
        <v>0.9249999999999999</v>
      </c>
      <c r="E14" s="8">
        <v>270</v>
      </c>
      <c r="F14" s="8">
        <f>E14*(373.242/349.9144)</f>
        <v>287.999979423539</v>
      </c>
      <c r="G14" s="8">
        <f>5760/F14</f>
        <v>20.000001428921006</v>
      </c>
      <c r="H14" s="20">
        <f>349.9144/E14</f>
        <v>1.2959792592592592</v>
      </c>
      <c r="I14" s="20">
        <f>H14*D14</f>
        <v>1.1987808148148147</v>
      </c>
      <c r="J14">
        <v>22</v>
      </c>
      <c r="K14">
        <v>6</v>
      </c>
      <c r="L14" s="20">
        <f>E14*(0.925/D14)/240</f>
        <v>1.1250000000000002</v>
      </c>
      <c r="M14" s="20">
        <f>L14*(373.242/349.9144)</f>
        <v>1.1999999142647462</v>
      </c>
      <c r="N14" s="20">
        <f>L14*(1/0.925)*1/0.3499144</f>
        <v>3.4757535449133163</v>
      </c>
      <c r="O14" s="8">
        <f>N14/$N$22*100</f>
        <v>90</v>
      </c>
      <c r="P14" s="16">
        <f>(I14-I12)/I12</f>
        <v>0.035999999999999706</v>
      </c>
      <c r="Q14" s="16">
        <f>(N14-N12)/N12</f>
        <v>-0.03474903474903472</v>
      </c>
      <c r="S14" t="s">
        <v>108</v>
      </c>
    </row>
    <row r="15" ht="12.75">
      <c r="I15" s="20"/>
    </row>
    <row r="16" spans="1:17" ht="12.75">
      <c r="A16" s="5" t="s">
        <v>21</v>
      </c>
      <c r="B16">
        <v>11</v>
      </c>
      <c r="C16">
        <v>2</v>
      </c>
      <c r="D16" s="20">
        <f>(B16/12)+(C16/20)/12</f>
        <v>0.9249999999999999</v>
      </c>
      <c r="E16" s="8">
        <v>266</v>
      </c>
      <c r="F16" s="8">
        <f>E16*(373.242/349.9144)</f>
        <v>283.73331306170877</v>
      </c>
      <c r="G16" s="8">
        <f>5760/F16</f>
        <v>20.30075333010779</v>
      </c>
      <c r="H16" s="20">
        <f>349.9144/E16</f>
        <v>1.3154676691729323</v>
      </c>
      <c r="I16" s="20">
        <f>H16*D16</f>
        <v>1.2168075939849623</v>
      </c>
      <c r="J16">
        <v>22</v>
      </c>
      <c r="K16">
        <v>2</v>
      </c>
      <c r="L16" s="20">
        <f>E16*(0.925/D16)/240</f>
        <v>1.1083333333333336</v>
      </c>
      <c r="M16" s="20">
        <f>L16*(373.242/349.9144)</f>
        <v>1.1822221377571203</v>
      </c>
      <c r="N16" s="20">
        <f>L16*(1/0.925)*1/0.3499144</f>
        <v>3.4242608998034902</v>
      </c>
      <c r="O16" s="8">
        <f>N16/$N$22*100</f>
        <v>88.6666666666667</v>
      </c>
      <c r="P16" s="16">
        <f>(I16-I14)/I14</f>
        <v>0.015037593984962424</v>
      </c>
      <c r="Q16" s="16">
        <f>(N16-N14)/N14</f>
        <v>-0.014814814814814581</v>
      </c>
    </row>
    <row r="17" ht="12.75">
      <c r="I17" s="20"/>
    </row>
    <row r="18" spans="1:19" ht="12.75">
      <c r="A18" s="5" t="s">
        <v>23</v>
      </c>
      <c r="B18">
        <v>11</v>
      </c>
      <c r="C18">
        <v>2</v>
      </c>
      <c r="D18" s="20">
        <f>(B18/12)+(C18/20)/12</f>
        <v>0.9249999999999999</v>
      </c>
      <c r="E18" s="8">
        <v>268</v>
      </c>
      <c r="F18" s="8">
        <f>E18*(373.242/349.9144)</f>
        <v>285.8666462426239</v>
      </c>
      <c r="G18" s="8">
        <f>5760/F18</f>
        <v>20.149255170927876</v>
      </c>
      <c r="H18" s="20">
        <f>349.9144/E18</f>
        <v>1.3056507462686566</v>
      </c>
      <c r="I18" s="20">
        <f>H18*D18</f>
        <v>1.2077269402985074</v>
      </c>
      <c r="J18">
        <v>22</v>
      </c>
      <c r="K18">
        <v>4</v>
      </c>
      <c r="L18" s="20">
        <f>E18*(0.925/D18)/240</f>
        <v>1.116666666666667</v>
      </c>
      <c r="M18" s="20">
        <f>L18*(373.242/349.9144)</f>
        <v>1.1911110260109332</v>
      </c>
      <c r="N18" s="20">
        <f>L18*(1/0.925)*1/0.3499144</f>
        <v>3.450007222358403</v>
      </c>
      <c r="O18" s="8">
        <f>N18/$N$22*100</f>
        <v>89.33333333333334</v>
      </c>
      <c r="P18" s="16">
        <f>(I18-I16)/I16</f>
        <v>-0.007462686567164179</v>
      </c>
      <c r="Q18" s="16">
        <f>(N18-N16)/N16</f>
        <v>0.007518796992481018</v>
      </c>
      <c r="S18" t="s">
        <v>156</v>
      </c>
    </row>
    <row r="19" ht="12.75">
      <c r="I19" s="20"/>
    </row>
    <row r="20" spans="1:19" ht="12.75">
      <c r="A20" s="5" t="s">
        <v>26</v>
      </c>
      <c r="B20">
        <v>11</v>
      </c>
      <c r="C20">
        <v>2</v>
      </c>
      <c r="D20" s="20">
        <f>(B20/12)+(C20/20)/12</f>
        <v>0.9249999999999999</v>
      </c>
      <c r="E20" s="8">
        <v>270</v>
      </c>
      <c r="F20" s="8">
        <f>E20*(373.242/349.9144)</f>
        <v>287.999979423539</v>
      </c>
      <c r="G20" s="8">
        <f>5760/F20</f>
        <v>20.000001428921006</v>
      </c>
      <c r="H20" s="20">
        <f>349.9144/E20</f>
        <v>1.2959792592592592</v>
      </c>
      <c r="I20" s="20">
        <f>H20*D20</f>
        <v>1.1987808148148147</v>
      </c>
      <c r="J20">
        <v>22</v>
      </c>
      <c r="K20">
        <v>6</v>
      </c>
      <c r="L20" s="20">
        <f>E20*(0.925/D20)/240</f>
        <v>1.1250000000000002</v>
      </c>
      <c r="M20" s="20">
        <f>L20*(373.242/349.9144)</f>
        <v>1.1999999142647462</v>
      </c>
      <c r="N20" s="20">
        <f>L20*(1/0.925)*1/0.3499144</f>
        <v>3.4757535449133163</v>
      </c>
      <c r="O20" s="8">
        <f>N20/$N$22*100</f>
        <v>90</v>
      </c>
      <c r="P20" s="16">
        <f>(I20-I18)/I18</f>
        <v>-0.007407407407407425</v>
      </c>
      <c r="Q20" s="16">
        <f>(N20-N18)/N18</f>
        <v>0.007462686567164125</v>
      </c>
      <c r="S20" t="s">
        <v>7</v>
      </c>
    </row>
    <row r="21" ht="12.75">
      <c r="I21" s="20"/>
    </row>
    <row r="22" spans="1:19" ht="12.75">
      <c r="A22" s="5" t="s">
        <v>29</v>
      </c>
      <c r="B22">
        <v>11</v>
      </c>
      <c r="C22">
        <v>2</v>
      </c>
      <c r="D22" s="20">
        <f>(B22/12)+(C22/20)/12</f>
        <v>0.9249999999999999</v>
      </c>
      <c r="E22" s="8">
        <v>300</v>
      </c>
      <c r="F22" s="8">
        <f>E22*(373.242/349.9144)</f>
        <v>319.99997713726555</v>
      </c>
      <c r="G22" s="8">
        <f>5760/F22</f>
        <v>18.000001286028905</v>
      </c>
      <c r="H22" s="20">
        <f>349.9144/E22</f>
        <v>1.1663813333333333</v>
      </c>
      <c r="I22" s="20">
        <f>H22*D22</f>
        <v>1.0789027333333332</v>
      </c>
      <c r="J22">
        <v>25</v>
      </c>
      <c r="K22">
        <v>0</v>
      </c>
      <c r="L22" s="20">
        <f>E22*(0.925/D22)/240</f>
        <v>1.2500000000000002</v>
      </c>
      <c r="M22" s="20">
        <f>L22*(373.242/349.9144)</f>
        <v>1.33333323807194</v>
      </c>
      <c r="N22" s="20">
        <f>L22*(1/0.925)*1/0.3499144</f>
        <v>3.861948383237018</v>
      </c>
      <c r="O22" s="8">
        <f>N22/$N$22*100</f>
        <v>100</v>
      </c>
      <c r="P22" s="16">
        <f>(I22-I20)/I20</f>
        <v>-0.10000000000000002</v>
      </c>
      <c r="Q22" s="16">
        <f>(N22-N20)/N20</f>
        <v>0.11111111111111108</v>
      </c>
      <c r="S22" t="s">
        <v>102</v>
      </c>
    </row>
    <row r="23" ht="12.75">
      <c r="I23" s="20"/>
    </row>
    <row r="24" spans="1:19" ht="12.75">
      <c r="A24" s="5" t="s">
        <v>34</v>
      </c>
      <c r="B24">
        <v>11</v>
      </c>
      <c r="C24">
        <v>2</v>
      </c>
      <c r="D24" s="20">
        <f>(B24/12)+(C24/20)/12</f>
        <v>0.9249999999999999</v>
      </c>
      <c r="E24" s="8">
        <v>360</v>
      </c>
      <c r="F24" s="8">
        <f>E24*(373.242/349.9144)</f>
        <v>383.9999725647187</v>
      </c>
      <c r="G24" s="8">
        <f>5760/F24</f>
        <v>15.000001071690752</v>
      </c>
      <c r="H24" s="20">
        <f>349.9144/E24</f>
        <v>0.9719844444444444</v>
      </c>
      <c r="I24" s="20">
        <f>H24*D24</f>
        <v>0.8990856111111111</v>
      </c>
      <c r="J24">
        <v>30</v>
      </c>
      <c r="K24">
        <v>0</v>
      </c>
      <c r="L24" s="20">
        <f>E24*(0.925/D24)/240</f>
        <v>1.5000000000000002</v>
      </c>
      <c r="M24" s="20">
        <f>L24*(373.242/349.9144)</f>
        <v>1.599999885686328</v>
      </c>
      <c r="N24" s="20">
        <f>L24*(1/0.925)*1/0.3499144</f>
        <v>4.634338059884422</v>
      </c>
      <c r="O24" s="8">
        <f>N24/$N$22*100</f>
        <v>120.00000000000001</v>
      </c>
      <c r="P24" s="16">
        <f>(I24-I22)/I22</f>
        <v>-0.1666666666666666</v>
      </c>
      <c r="Q24" s="16">
        <f>(N24-N22)/N22</f>
        <v>0.20000000000000018</v>
      </c>
      <c r="S24" t="s">
        <v>119</v>
      </c>
    </row>
    <row r="25" ht="12.75">
      <c r="I25" s="20"/>
    </row>
    <row r="26" spans="1:17" ht="12.75">
      <c r="A26" s="5" t="s">
        <v>36</v>
      </c>
      <c r="B26">
        <v>11</v>
      </c>
      <c r="C26">
        <v>2</v>
      </c>
      <c r="D26" s="20">
        <f>(B26/12)+(C26/20)/12</f>
        <v>0.9249999999999999</v>
      </c>
      <c r="E26" s="8">
        <v>450</v>
      </c>
      <c r="F26" s="8">
        <f>E26*(373.242/349.9144)</f>
        <v>479.9999657058983</v>
      </c>
      <c r="G26" s="8">
        <f>5760/F26</f>
        <v>12.000000857352603</v>
      </c>
      <c r="H26" s="20">
        <f>349.9144/E26</f>
        <v>0.7775875555555556</v>
      </c>
      <c r="I26" s="20">
        <f>H26*D26</f>
        <v>0.7192684888888888</v>
      </c>
      <c r="J26">
        <v>37</v>
      </c>
      <c r="K26">
        <v>6</v>
      </c>
      <c r="L26" s="20">
        <f>E26*(0.925/D26)/240</f>
        <v>1.8750000000000004</v>
      </c>
      <c r="M26" s="20">
        <f>L26*(373.242/349.9144)</f>
        <v>1.9999998571079103</v>
      </c>
      <c r="N26" s="20">
        <f>L26*(1/0.925)*1/0.3499144</f>
        <v>5.7929225748555275</v>
      </c>
      <c r="O26" s="8">
        <f>N26/$N$22*100</f>
        <v>150.00000000000003</v>
      </c>
      <c r="P26" s="16">
        <f>(I26-I24)/I24</f>
        <v>-0.2</v>
      </c>
      <c r="Q26" s="16">
        <f>(N26-N24)/N24</f>
        <v>0.24999999999999992</v>
      </c>
    </row>
    <row r="27" ht="12.75">
      <c r="I27" s="20"/>
    </row>
    <row r="28" spans="1:19" ht="12.75">
      <c r="A28" s="5" t="s">
        <v>44</v>
      </c>
      <c r="B28">
        <v>11</v>
      </c>
      <c r="C28">
        <v>2</v>
      </c>
      <c r="D28" s="20">
        <f>(B28/12)+(C28/20)/12</f>
        <v>0.9249999999999999</v>
      </c>
      <c r="E28" s="8">
        <f>349.9144/373.242*F28</f>
        <v>506.25003616956286</v>
      </c>
      <c r="F28" s="8">
        <v>540</v>
      </c>
      <c r="G28" s="8">
        <f>5760/F28</f>
        <v>10.666666666666666</v>
      </c>
      <c r="H28" s="20">
        <f>373.242/F28</f>
        <v>0.691188888888889</v>
      </c>
      <c r="I28" s="20">
        <f>H28*D28</f>
        <v>0.6393497222222222</v>
      </c>
      <c r="J28">
        <v>45</v>
      </c>
      <c r="K28">
        <v>0</v>
      </c>
      <c r="L28" s="20">
        <f>M28*(349.9144/373.242)</f>
        <v>2.1093751507065126</v>
      </c>
      <c r="M28" s="20">
        <f>(F28/240)*0.925/D28</f>
        <v>2.2500000000000004</v>
      </c>
      <c r="N28" s="20">
        <f>L28*(1/0.925)*1/0.3499144</f>
        <v>6.517038362329085</v>
      </c>
      <c r="O28" s="8">
        <f>N28/$N$22*100</f>
        <v>168.75001205652097</v>
      </c>
      <c r="P28" s="16">
        <f>(I28-I26)/I26</f>
        <v>-0.11111117461870672</v>
      </c>
      <c r="Q28" s="16">
        <f>(N28-N26)/N26</f>
        <v>0.1250000803768065</v>
      </c>
      <c r="S28" t="s">
        <v>233</v>
      </c>
    </row>
    <row r="29" ht="12.75">
      <c r="I29" s="20"/>
    </row>
    <row r="30" spans="1:17" ht="12.75">
      <c r="A30" s="5" t="s">
        <v>46</v>
      </c>
      <c r="B30">
        <v>9</v>
      </c>
      <c r="C30">
        <v>2</v>
      </c>
      <c r="D30" s="20">
        <f>(B30/12)+(C30/20)/12</f>
        <v>0.7583333333333333</v>
      </c>
      <c r="E30" s="8">
        <f>349.9144/373.242*F30</f>
        <v>540.0000385808671</v>
      </c>
      <c r="F30" s="8">
        <v>576</v>
      </c>
      <c r="G30" s="8">
        <f>5760/F30</f>
        <v>10</v>
      </c>
      <c r="H30" s="20">
        <f>373.242/F30</f>
        <v>0.6479895833333333</v>
      </c>
      <c r="I30" s="20">
        <f>H30*D30</f>
        <v>0.49139210069444444</v>
      </c>
      <c r="J30">
        <v>48</v>
      </c>
      <c r="K30">
        <v>0</v>
      </c>
      <c r="L30" s="20">
        <f>M30*(349.9144/373.242)</f>
        <v>2.744505690589572</v>
      </c>
      <c r="M30" s="20">
        <f>(F30/240)*0.925/D30</f>
        <v>2.9274725274725277</v>
      </c>
      <c r="N30" s="20">
        <f>L30*(1/0.925)*1/0.3499144</f>
        <v>8.479311451645755</v>
      </c>
      <c r="O30" s="8">
        <f>N30/$N$22*100</f>
        <v>219.56045524716578</v>
      </c>
      <c r="P30" s="16">
        <f>(I30-I28)/I28</f>
        <v>-0.2314189189189189</v>
      </c>
      <c r="Q30" s="16">
        <f>(N30-N28)/N28</f>
        <v>0.30109890109890103</v>
      </c>
    </row>
    <row r="31" ht="12.75">
      <c r="I31" s="20"/>
    </row>
    <row r="32" spans="1:17" ht="12.75">
      <c r="A32" s="5" t="s">
        <v>47</v>
      </c>
      <c r="B32">
        <v>9</v>
      </c>
      <c r="C32">
        <v>0</v>
      </c>
      <c r="D32" s="20">
        <f>(B32/12)+(C32/20)/12</f>
        <v>0.75</v>
      </c>
      <c r="E32" s="8">
        <f>349.9144/373.242*F32</f>
        <v>540.0000385808671</v>
      </c>
      <c r="F32" s="8">
        <v>576</v>
      </c>
      <c r="G32" s="8">
        <f>5760/F32</f>
        <v>10</v>
      </c>
      <c r="H32" s="20">
        <f>373.242/F32</f>
        <v>0.6479895833333333</v>
      </c>
      <c r="I32" s="20">
        <f>H32*D32</f>
        <v>0.4859921875</v>
      </c>
      <c r="J32">
        <v>48</v>
      </c>
      <c r="K32">
        <v>0</v>
      </c>
      <c r="L32" s="20">
        <f>M32*(349.9144/373.242)</f>
        <v>2.7750001982627897</v>
      </c>
      <c r="M32" s="20">
        <f>(F32/240)*0.925/D32</f>
        <v>2.9600000000000004</v>
      </c>
      <c r="N32" s="20">
        <f>L32*(1/0.925)*1/0.3499144</f>
        <v>8.573526023330707</v>
      </c>
      <c r="O32" s="8">
        <f>N32/$N$22*100</f>
        <v>222.00001586102314</v>
      </c>
      <c r="P32" s="16">
        <f>(I32-I30)/I30</f>
        <v>-0.010989010989010978</v>
      </c>
      <c r="Q32" s="16">
        <f>(N32-N30)/N30</f>
        <v>0.0111111111111111</v>
      </c>
    </row>
    <row r="33" ht="12.75">
      <c r="I33" s="20"/>
    </row>
    <row r="34" spans="1:17" ht="12.75">
      <c r="A34" s="5" t="s">
        <v>49</v>
      </c>
      <c r="B34">
        <v>6</v>
      </c>
      <c r="C34">
        <v>0</v>
      </c>
      <c r="D34" s="20">
        <f>(B34/12)+(C34/20)/12</f>
        <v>0.5</v>
      </c>
      <c r="E34" s="8">
        <f>349.9144/373.242*F34</f>
        <v>540.0000385808671</v>
      </c>
      <c r="F34" s="8">
        <v>576</v>
      </c>
      <c r="G34" s="8">
        <f>5760/F34</f>
        <v>10</v>
      </c>
      <c r="H34" s="20">
        <f>373.242/F34</f>
        <v>0.6479895833333333</v>
      </c>
      <c r="I34" s="20">
        <f>H34*D34</f>
        <v>0.32399479166666667</v>
      </c>
      <c r="J34">
        <v>48</v>
      </c>
      <c r="K34">
        <v>0</v>
      </c>
      <c r="L34" s="20">
        <f>M34*(349.9144/373.242)</f>
        <v>4.1625002973941845</v>
      </c>
      <c r="M34" s="20">
        <f>(F34/240)*0.925/D34</f>
        <v>4.44</v>
      </c>
      <c r="N34" s="20">
        <f>L34*(1/0.925)*1/0.3499144</f>
        <v>12.860289034996061</v>
      </c>
      <c r="O34" s="8">
        <f>N34/$N$22*100</f>
        <v>333.0000237915348</v>
      </c>
      <c r="P34" s="16">
        <f>(I34-I32)/I32</f>
        <v>-0.3333333333333333</v>
      </c>
      <c r="Q34" s="16">
        <f>(N34-N32)/N32</f>
        <v>0.5</v>
      </c>
    </row>
    <row r="35" ht="12.75">
      <c r="I35" s="20"/>
    </row>
    <row r="36" spans="1:17" ht="12.75">
      <c r="A36" s="5" t="s">
        <v>51</v>
      </c>
      <c r="B36">
        <v>4</v>
      </c>
      <c r="C36">
        <v>0</v>
      </c>
      <c r="D36" s="20">
        <f>(B36/12)+(C36/20)/12</f>
        <v>0.3333333333333333</v>
      </c>
      <c r="E36" s="8">
        <f>349.9144/373.242*F36</f>
        <v>540.0000385808671</v>
      </c>
      <c r="F36" s="8">
        <v>576</v>
      </c>
      <c r="G36" s="8">
        <f>5760/F36</f>
        <v>10</v>
      </c>
      <c r="H36" s="20">
        <f>373.242/F36</f>
        <v>0.6479895833333333</v>
      </c>
      <c r="I36" s="20">
        <f>H36*D36</f>
        <v>0.21599652777777778</v>
      </c>
      <c r="J36">
        <v>48</v>
      </c>
      <c r="K36">
        <v>0</v>
      </c>
      <c r="L36" s="20">
        <f>M36*(349.9144/373.242)</f>
        <v>6.243750446091276</v>
      </c>
      <c r="M36" s="20">
        <f>(F36/240)*0.925/D36</f>
        <v>6.660000000000001</v>
      </c>
      <c r="N36" s="20">
        <f>L36*(1/0.925)*1/0.3499144</f>
        <v>19.29043355249409</v>
      </c>
      <c r="O36" s="8">
        <f>N36/$N$22*100</f>
        <v>499.500035687302</v>
      </c>
      <c r="P36" s="16">
        <f>(I36-I34)/I34</f>
        <v>-0.3333333333333333</v>
      </c>
      <c r="Q36" s="16">
        <f>(N36-N34)/N34</f>
        <v>0.4999999999999999</v>
      </c>
    </row>
    <row r="37" ht="12.75">
      <c r="I37" s="20"/>
    </row>
    <row r="38" spans="1:17" ht="12.75">
      <c r="A38" s="5" t="s">
        <v>53</v>
      </c>
      <c r="B38">
        <v>8</v>
      </c>
      <c r="C38">
        <v>0</v>
      </c>
      <c r="D38" s="20">
        <f>(B38/12)+(C38/20)/12</f>
        <v>0.6666666666666666</v>
      </c>
      <c r="E38" s="8">
        <f>349.9144/373.242*F38</f>
        <v>1080.0000771617342</v>
      </c>
      <c r="F38" s="8">
        <v>1152</v>
      </c>
      <c r="G38" s="8">
        <f>5760/F38</f>
        <v>5</v>
      </c>
      <c r="H38" s="20">
        <f>373.242/F38</f>
        <v>0.32399479166666667</v>
      </c>
      <c r="I38" s="20">
        <f>H38*D38</f>
        <v>0.21599652777777778</v>
      </c>
      <c r="J38">
        <v>96</v>
      </c>
      <c r="K38">
        <v>0</v>
      </c>
      <c r="L38" s="20">
        <f>M38*(349.9144/373.242)</f>
        <v>6.243750446091276</v>
      </c>
      <c r="M38" s="20">
        <f>(F38/240)*0.925/D38</f>
        <v>6.660000000000001</v>
      </c>
      <c r="N38" s="20">
        <f>L38*(1/0.925)*1/0.3499144</f>
        <v>19.29043355249409</v>
      </c>
      <c r="O38" s="8">
        <f>N38/$N$22*100</f>
        <v>499.500035687302</v>
      </c>
      <c r="P38" s="16">
        <f>(I38-I36)/I36</f>
        <v>0</v>
      </c>
      <c r="Q38" s="16">
        <f>(N38-N36)/N36</f>
        <v>0</v>
      </c>
    </row>
    <row r="39" ht="12.75">
      <c r="I39" s="20"/>
    </row>
    <row r="40" spans="1:17" ht="12.75">
      <c r="A40" s="5" t="s">
        <v>54</v>
      </c>
      <c r="B40">
        <v>6</v>
      </c>
      <c r="C40">
        <v>0</v>
      </c>
      <c r="D40" s="20">
        <f>(B40/12)+(C40/20)/12</f>
        <v>0.5</v>
      </c>
      <c r="E40" s="8">
        <f>349.9144/373.242*F40</f>
        <v>810.0000578713007</v>
      </c>
      <c r="F40" s="8">
        <v>864</v>
      </c>
      <c r="G40" s="8">
        <f>5760/F40</f>
        <v>6.666666666666667</v>
      </c>
      <c r="H40" s="20">
        <f>373.242/F40</f>
        <v>0.43199305555555556</v>
      </c>
      <c r="I40" s="20">
        <f>H40*D40</f>
        <v>0.21599652777777778</v>
      </c>
      <c r="J40">
        <v>72</v>
      </c>
      <c r="K40">
        <v>0</v>
      </c>
      <c r="L40" s="20">
        <f>M40*(349.9144/373.242)</f>
        <v>6.243750446091275</v>
      </c>
      <c r="M40" s="20">
        <f>(F40/240)*0.925/D40</f>
        <v>6.66</v>
      </c>
      <c r="N40" s="20">
        <f>L40*(1/0.925)*1/0.3499144</f>
        <v>19.290433552494086</v>
      </c>
      <c r="O40" s="8">
        <f>N40/$N$22*100</f>
        <v>499.50003568730193</v>
      </c>
      <c r="P40" s="16">
        <f>(I40-I38)/I38</f>
        <v>0</v>
      </c>
      <c r="Q40" s="16">
        <f>(N40-N38)/N38</f>
        <v>-1.8416971651428565E-16</v>
      </c>
    </row>
    <row r="41" ht="12.75">
      <c r="I41" s="20"/>
    </row>
    <row r="42" spans="1:17" ht="12.75">
      <c r="A42" s="5" t="s">
        <v>56</v>
      </c>
      <c r="B42">
        <v>4</v>
      </c>
      <c r="C42">
        <v>0</v>
      </c>
      <c r="D42" s="20">
        <f>(B42/12)+(C42/20)/12</f>
        <v>0.3333333333333333</v>
      </c>
      <c r="E42" s="8">
        <f>349.9144/373.242*F42</f>
        <v>540.0000385808671</v>
      </c>
      <c r="F42" s="8">
        <v>576</v>
      </c>
      <c r="G42" s="8">
        <f>5760/F42</f>
        <v>10</v>
      </c>
      <c r="H42" s="20">
        <f>373.242/F42</f>
        <v>0.6479895833333333</v>
      </c>
      <c r="I42" s="20">
        <f>H42*D42</f>
        <v>0.21599652777777778</v>
      </c>
      <c r="J42">
        <v>48</v>
      </c>
      <c r="K42">
        <v>0</v>
      </c>
      <c r="L42" s="20">
        <f>M42*(349.9144/373.242)</f>
        <v>6.243750446091276</v>
      </c>
      <c r="M42" s="20">
        <f>(F42/240)*0.925/D42</f>
        <v>6.660000000000001</v>
      </c>
      <c r="N42" s="20">
        <f>L42*(1/0.925)*1/0.3499144</f>
        <v>19.29043355249409</v>
      </c>
      <c r="O42" s="8">
        <f>N42/$N$22*100</f>
        <v>499.500035687302</v>
      </c>
      <c r="P42" s="16">
        <f>(I42-I40)/I40</f>
        <v>0</v>
      </c>
      <c r="Q42" s="16">
        <f>(N42-N40)/N40</f>
        <v>1.841697165142857E-16</v>
      </c>
    </row>
    <row r="43" ht="12.75">
      <c r="I43" s="20"/>
    </row>
    <row r="44" spans="1:17" ht="12.75">
      <c r="A44" s="5" t="s">
        <v>58</v>
      </c>
      <c r="B44">
        <v>3</v>
      </c>
      <c r="C44">
        <v>0</v>
      </c>
      <c r="D44" s="20">
        <f>(B44/12)+(C44/20)/12</f>
        <v>0.25</v>
      </c>
      <c r="E44" s="8">
        <f>349.9144/373.242*F44</f>
        <v>810.0000578713007</v>
      </c>
      <c r="F44" s="8">
        <v>864</v>
      </c>
      <c r="G44" s="8">
        <f>5760/F44</f>
        <v>6.666666666666667</v>
      </c>
      <c r="H44" s="20">
        <f>373.242/F44</f>
        <v>0.43199305555555556</v>
      </c>
      <c r="I44" s="20">
        <f>H44*D44</f>
        <v>0.10799826388888889</v>
      </c>
      <c r="J44">
        <v>72</v>
      </c>
      <c r="K44">
        <v>0</v>
      </c>
      <c r="L44" s="20">
        <f>M44*(349.9144/373.242)</f>
        <v>12.48750089218255</v>
      </c>
      <c r="M44" s="20">
        <f>(F44/240)*0.925/D44</f>
        <v>13.32</v>
      </c>
      <c r="N44" s="20">
        <f>L44*(1/0.925)*1/0.3499144</f>
        <v>38.58086710498817</v>
      </c>
      <c r="O44" s="8">
        <f>N44/$N$22*100</f>
        <v>999.0000713746039</v>
      </c>
      <c r="P44" s="16">
        <f>(I44-I42)/I42</f>
        <v>-0.5</v>
      </c>
      <c r="Q44" s="16">
        <f>(N44-N42)/N42</f>
        <v>0.9999999999999997</v>
      </c>
    </row>
    <row r="45" ht="12.75">
      <c r="I45" s="20"/>
    </row>
    <row r="46" spans="1:17" ht="12.75">
      <c r="A46" s="5" t="s">
        <v>59</v>
      </c>
      <c r="B46">
        <v>11</v>
      </c>
      <c r="C46">
        <v>1</v>
      </c>
      <c r="D46" s="20">
        <f>(B46/12)+(C46/20)/12</f>
        <v>0.9208333333333333</v>
      </c>
      <c r="E46" s="8">
        <f>349.9144/373.242*F46</f>
        <v>675.0000482260839</v>
      </c>
      <c r="F46" s="8">
        <v>720</v>
      </c>
      <c r="G46" s="8">
        <f>5760/F46</f>
        <v>8</v>
      </c>
      <c r="H46" s="20">
        <f>373.242/F46</f>
        <v>0.5183916666666667</v>
      </c>
      <c r="I46" s="20">
        <f>H46*D46</f>
        <v>0.4773523263888889</v>
      </c>
      <c r="J46">
        <v>60</v>
      </c>
      <c r="K46">
        <v>0</v>
      </c>
      <c r="L46" s="20">
        <f>M46*(349.9144/373.242)</f>
        <v>2.8252264461951477</v>
      </c>
      <c r="M46" s="20">
        <f>(F46/240)*0.925/D46</f>
        <v>3.0135746606334846</v>
      </c>
      <c r="N46" s="20">
        <f>L46*(1/0.925)*1/0.3499144</f>
        <v>8.728702964929452</v>
      </c>
      <c r="O46" s="8">
        <f>N46/$N$22*100</f>
        <v>226.01811569561175</v>
      </c>
      <c r="P46" s="16">
        <f>(I46-I44)/I44</f>
        <v>3.4200000000000004</v>
      </c>
      <c r="Q46" s="16">
        <f>(N46-N44)/N44</f>
        <v>-0.7737556561085972</v>
      </c>
    </row>
    <row r="47" ht="12.75">
      <c r="I47" s="20"/>
    </row>
    <row r="48" spans="1:19" ht="12.75">
      <c r="A48" s="5" t="s">
        <v>62</v>
      </c>
      <c r="B48">
        <v>11</v>
      </c>
      <c r="C48">
        <v>0</v>
      </c>
      <c r="D48" s="20">
        <f>(B48/12)+(C48/20)/12</f>
        <v>0.9166666666666666</v>
      </c>
      <c r="E48" s="8">
        <f>349.9144/373.242*F48</f>
        <v>675.0000482260839</v>
      </c>
      <c r="F48" s="8">
        <v>720</v>
      </c>
      <c r="G48" s="8">
        <f>5760/F48</f>
        <v>8</v>
      </c>
      <c r="H48" s="20">
        <f>373.242/F48</f>
        <v>0.5183916666666667</v>
      </c>
      <c r="I48" s="20">
        <f>H48*D48</f>
        <v>0.47519236111111113</v>
      </c>
      <c r="J48">
        <v>60</v>
      </c>
      <c r="K48">
        <v>0</v>
      </c>
      <c r="L48" s="20">
        <f>M48*(349.9144/373.242)</f>
        <v>2.838068384586944</v>
      </c>
      <c r="M48" s="20">
        <f>(F48/240)*0.925/D48</f>
        <v>3.027272727272728</v>
      </c>
      <c r="N48" s="20">
        <f>L48*(1/0.925)*1/0.3499144</f>
        <v>8.768378887497313</v>
      </c>
      <c r="O48" s="8">
        <f>N48/$N$22*100</f>
        <v>227.04547076695545</v>
      </c>
      <c r="P48" s="16">
        <f>(I48-I46)/I46</f>
        <v>-0.004524886877828073</v>
      </c>
      <c r="Q48" s="16">
        <f>(N48-N46)/N46</f>
        <v>0.004545454545454543</v>
      </c>
      <c r="S48" t="s">
        <v>193</v>
      </c>
    </row>
    <row r="49" ht="12.75">
      <c r="I49" s="20"/>
    </row>
    <row r="50" spans="1:17" ht="12.75">
      <c r="A50" s="5" t="s">
        <v>64</v>
      </c>
      <c r="B50">
        <v>11</v>
      </c>
      <c r="C50">
        <v>2</v>
      </c>
      <c r="D50" s="20">
        <f>(B50/12)+(C50/20)/12</f>
        <v>0.9249999999999999</v>
      </c>
      <c r="E50" s="8">
        <f>349.9144/373.242*F50</f>
        <v>675.0000482260839</v>
      </c>
      <c r="F50" s="8">
        <v>720</v>
      </c>
      <c r="G50" s="8">
        <f>5760/F50</f>
        <v>8</v>
      </c>
      <c r="H50" s="20">
        <f>373.242/F50</f>
        <v>0.5183916666666667</v>
      </c>
      <c r="I50" s="20">
        <f>H50*D50</f>
        <v>0.47951229166666665</v>
      </c>
      <c r="J50">
        <v>60</v>
      </c>
      <c r="K50">
        <v>0</v>
      </c>
      <c r="L50" s="20">
        <f>M50*(349.9144/373.242)</f>
        <v>2.8125002009420164</v>
      </c>
      <c r="M50" s="20">
        <f>(F50/240)*0.925/D50</f>
        <v>3.0000000000000004</v>
      </c>
      <c r="N50" s="20">
        <f>L50*(1/0.925)*1/0.3499144</f>
        <v>8.689384483105446</v>
      </c>
      <c r="O50" s="8">
        <f>N50/$N$22*100</f>
        <v>225.00001607536126</v>
      </c>
      <c r="P50" s="16">
        <f>(I50-I48)/I48</f>
        <v>0.00909090909090901</v>
      </c>
      <c r="Q50" s="16">
        <f>(N50-N48)/N48</f>
        <v>-0.009009009009008969</v>
      </c>
    </row>
    <row r="51" ht="12.75">
      <c r="I51" s="20"/>
    </row>
    <row r="52" spans="1:19" ht="12.75">
      <c r="A52" s="5" t="s">
        <v>67</v>
      </c>
      <c r="B52">
        <v>11</v>
      </c>
      <c r="C52">
        <v>1</v>
      </c>
      <c r="D52" s="20">
        <f>(B52/12)+(C52/20)/12</f>
        <v>0.9208333333333333</v>
      </c>
      <c r="E52" s="8">
        <f>349.9144/373.242*F52</f>
        <v>677.8125484270258</v>
      </c>
      <c r="F52" s="8">
        <v>723</v>
      </c>
      <c r="G52" s="8">
        <f>5760/F52</f>
        <v>7.966804979253112</v>
      </c>
      <c r="H52" s="20">
        <f>373.242/F52</f>
        <v>0.516240663900415</v>
      </c>
      <c r="I52" s="20">
        <f>H52*D52</f>
        <v>0.47537161134163214</v>
      </c>
      <c r="J52">
        <v>60</v>
      </c>
      <c r="K52">
        <v>3</v>
      </c>
      <c r="L52" s="20">
        <f>M52*(349.9144/373.242)</f>
        <v>2.8369982230542945</v>
      </c>
      <c r="M52" s="20">
        <f>(F52/240)*0.925/D52</f>
        <v>3.026131221719458</v>
      </c>
      <c r="N52" s="20">
        <f>L52*(1/0.925)*1/0.3499144</f>
        <v>8.765072560616659</v>
      </c>
      <c r="O52" s="8">
        <f>N52/$N$22*100</f>
        <v>226.9598578443435</v>
      </c>
      <c r="P52" s="16">
        <f>(I52-I50)/I50</f>
        <v>-0.008635191207805168</v>
      </c>
      <c r="Q52" s="16">
        <f>(N52-N50)/N50</f>
        <v>0.00871040723981905</v>
      </c>
      <c r="S52" t="s">
        <v>205</v>
      </c>
    </row>
    <row r="53" ht="12.75">
      <c r="I53" s="20"/>
    </row>
    <row r="54" spans="1:17" ht="12.75">
      <c r="A54" s="5" t="s">
        <v>69</v>
      </c>
      <c r="B54">
        <v>11</v>
      </c>
      <c r="C54">
        <v>2</v>
      </c>
      <c r="D54" s="20">
        <f>(B54/12)+(C54/20)/12</f>
        <v>0.9249999999999999</v>
      </c>
      <c r="E54" s="8">
        <f>349.9144/373.242*F54</f>
        <v>675.0000482260839</v>
      </c>
      <c r="F54" s="8">
        <v>720</v>
      </c>
      <c r="G54" s="8">
        <f>5760/F54</f>
        <v>8</v>
      </c>
      <c r="H54" s="20">
        <f>373.242/F54</f>
        <v>0.5183916666666667</v>
      </c>
      <c r="I54" s="20">
        <f>H54*D54</f>
        <v>0.47951229166666665</v>
      </c>
      <c r="J54">
        <v>60</v>
      </c>
      <c r="K54">
        <v>0</v>
      </c>
      <c r="L54" s="20">
        <f>M54*(349.9144/373.242)</f>
        <v>2.8125002009420164</v>
      </c>
      <c r="M54" s="20">
        <f>(F54/240)*0.925/D54</f>
        <v>3.0000000000000004</v>
      </c>
      <c r="N54" s="20">
        <f>L54*(1/0.925)*1/0.3499144</f>
        <v>8.689384483105446</v>
      </c>
      <c r="O54" s="8">
        <f>N54/$N$22*100</f>
        <v>225.00001607536126</v>
      </c>
      <c r="P54" s="16">
        <f>(I54-I52)/I52</f>
        <v>0.008710407239818854</v>
      </c>
      <c r="Q54" s="16">
        <f>(N54-N52)/N52</f>
        <v>-0.00863519120780536</v>
      </c>
    </row>
    <row r="55" ht="12.75">
      <c r="I55" s="20"/>
    </row>
    <row r="56" spans="1:19" ht="12.75">
      <c r="A56" s="5" t="s">
        <v>73</v>
      </c>
      <c r="B56">
        <v>11</v>
      </c>
      <c r="C56">
        <v>2</v>
      </c>
      <c r="D56" s="20">
        <f>(B56/12)+(C56/20)/12</f>
        <v>0.9249999999999999</v>
      </c>
      <c r="E56" s="8">
        <f>349.9144/373.242*F56</f>
        <v>697.50004983362</v>
      </c>
      <c r="F56" s="8">
        <v>744</v>
      </c>
      <c r="G56" s="8">
        <f>5760/F56</f>
        <v>7.741935483870968</v>
      </c>
      <c r="H56" s="20">
        <f>373.242/F56</f>
        <v>0.5016693548387097</v>
      </c>
      <c r="I56" s="20">
        <f>H56*D56</f>
        <v>0.4640441532258064</v>
      </c>
      <c r="J56">
        <v>62</v>
      </c>
      <c r="K56">
        <v>0</v>
      </c>
      <c r="L56" s="20">
        <f>M56*(349.9144/373.242)</f>
        <v>2.906250207640084</v>
      </c>
      <c r="M56" s="20">
        <f>(F56/240)*0.925/D56</f>
        <v>3.1000000000000005</v>
      </c>
      <c r="N56" s="20">
        <f>L56*(1/0.925)*1/0.3499144</f>
        <v>8.979030632542294</v>
      </c>
      <c r="O56" s="8">
        <f>N56/$N$22*100</f>
        <v>232.50001661120666</v>
      </c>
      <c r="P56" s="16">
        <f>(I56-I54)/I54</f>
        <v>-0.03225806451612912</v>
      </c>
      <c r="Q56" s="16">
        <f>(N56-N54)/N54</f>
        <v>0.03333333333333332</v>
      </c>
      <c r="S56" t="s">
        <v>194</v>
      </c>
    </row>
    <row r="57" ht="12.75">
      <c r="I57" s="20"/>
    </row>
    <row r="58" spans="1:19" ht="12.75">
      <c r="A58" s="5" t="s">
        <v>80</v>
      </c>
      <c r="B58">
        <v>11</v>
      </c>
      <c r="C58">
        <v>2</v>
      </c>
      <c r="D58" s="20">
        <f>(B58/12)+(C58/20)/12</f>
        <v>0.9249999999999999</v>
      </c>
      <c r="E58" s="8">
        <f>349.9144/373.242*F58</f>
        <v>793.1250566656486</v>
      </c>
      <c r="F58" s="8">
        <v>846</v>
      </c>
      <c r="G58" s="8">
        <f>5760/F58</f>
        <v>6.808510638297872</v>
      </c>
      <c r="H58" s="20">
        <f>373.242/F58</f>
        <v>0.4411843971631206</v>
      </c>
      <c r="I58" s="20">
        <f>H58*D58</f>
        <v>0.4080955673758865</v>
      </c>
      <c r="J58">
        <v>70</v>
      </c>
      <c r="K58">
        <v>6</v>
      </c>
      <c r="L58" s="20">
        <f>M58*(349.9144/373.242)</f>
        <v>3.304687736106869</v>
      </c>
      <c r="M58" s="20">
        <f>(F58/240)*0.925/D58</f>
        <v>3.5250000000000004</v>
      </c>
      <c r="N58" s="20">
        <f>L58*(1/0.925)*1/0.3499144</f>
        <v>10.2100267676489</v>
      </c>
      <c r="O58" s="8">
        <f>N58/$N$22*100</f>
        <v>264.37501888854956</v>
      </c>
      <c r="P58" s="16">
        <f>(I58-I56)/I56</f>
        <v>-0.1205673758865248</v>
      </c>
      <c r="Q58" s="16">
        <f>(N58-N56)/N56</f>
        <v>0.13709677419354854</v>
      </c>
      <c r="S58" t="s">
        <v>206</v>
      </c>
    </row>
    <row r="59" ht="12.75">
      <c r="I59" s="20"/>
    </row>
    <row r="60" spans="1:17" ht="12.75">
      <c r="A60" s="5" t="s">
        <v>81</v>
      </c>
      <c r="B60">
        <v>11</v>
      </c>
      <c r="C60">
        <v>2</v>
      </c>
      <c r="D60" s="20">
        <f>(B60/12)+(C60/20)/12</f>
        <v>0.9249999999999999</v>
      </c>
      <c r="E60" s="8">
        <f>349.9144/373.242*F60</f>
        <v>697.50004983362</v>
      </c>
      <c r="F60" s="8">
        <v>744</v>
      </c>
      <c r="G60" s="8">
        <f>5760/F60</f>
        <v>7.741935483870968</v>
      </c>
      <c r="H60" s="20">
        <f>373.242/F60</f>
        <v>0.5016693548387097</v>
      </c>
      <c r="I60" s="20">
        <f>H60*D60</f>
        <v>0.4640441532258064</v>
      </c>
      <c r="J60">
        <v>62</v>
      </c>
      <c r="K60">
        <v>0</v>
      </c>
      <c r="L60" s="20">
        <f>M60*(349.9144/373.242)</f>
        <v>2.906250207640084</v>
      </c>
      <c r="M60" s="20">
        <f>(F60/240)*0.925/D60</f>
        <v>3.1000000000000005</v>
      </c>
      <c r="N60" s="20">
        <f>L60*(1/0.925)*1/0.3499144</f>
        <v>8.979030632542294</v>
      </c>
      <c r="O60" s="8">
        <f>N60/$N$22*100</f>
        <v>232.50001661120666</v>
      </c>
      <c r="P60" s="16">
        <f>(I60-I58)/I58</f>
        <v>0.13709677419354835</v>
      </c>
      <c r="Q60" s="16">
        <f>(N60-N58)/N58</f>
        <v>-0.12056737588652493</v>
      </c>
    </row>
    <row r="61" ht="12.75">
      <c r="I61" s="20"/>
    </row>
    <row r="62" spans="1:19" ht="12.75">
      <c r="A62" s="5" t="s">
        <v>89</v>
      </c>
      <c r="B62">
        <v>11</v>
      </c>
      <c r="C62">
        <v>2</v>
      </c>
      <c r="D62" s="20">
        <f>(B62/12)+(C62/20)/12</f>
        <v>0.9249999999999999</v>
      </c>
      <c r="E62" s="8">
        <f>349.9144/373.242*F62</f>
        <v>697.50004983362</v>
      </c>
      <c r="F62" s="8">
        <v>744</v>
      </c>
      <c r="G62" s="8">
        <f>5760/F62</f>
        <v>7.741935483870968</v>
      </c>
      <c r="H62" s="20">
        <f>373.242/F62</f>
        <v>0.5016693548387097</v>
      </c>
      <c r="I62" s="20">
        <f>H62*D62</f>
        <v>0.4640441532258064</v>
      </c>
      <c r="J62">
        <v>62</v>
      </c>
      <c r="K62">
        <v>0</v>
      </c>
      <c r="L62" s="20">
        <f>M62*(349.9144/373.242)</f>
        <v>2.906250207640084</v>
      </c>
      <c r="M62" s="20">
        <f>(F62/240)*0.925/D62</f>
        <v>3.1000000000000005</v>
      </c>
      <c r="N62" s="20">
        <f>L62*(1/0.925)*1/0.3499144</f>
        <v>8.979030632542294</v>
      </c>
      <c r="O62" s="8">
        <f>N62/$N$22*100</f>
        <v>232.50001661120666</v>
      </c>
      <c r="P62" s="16">
        <f>(I62-I60)/I60</f>
        <v>0</v>
      </c>
      <c r="Q62" s="16">
        <f>(N62-N60)/N60</f>
        <v>0</v>
      </c>
      <c r="S62" t="s">
        <v>113</v>
      </c>
    </row>
    <row r="63" ht="12.75">
      <c r="I63" s="20"/>
    </row>
    <row r="64" spans="1:17" ht="12.75">
      <c r="A64" s="5" t="s">
        <v>95</v>
      </c>
      <c r="B64">
        <v>11</v>
      </c>
      <c r="C64">
        <v>2</v>
      </c>
      <c r="D64" s="20">
        <f>(B64/12)+(C64/20)/12</f>
        <v>0.9249999999999999</v>
      </c>
      <c r="E64" s="8">
        <f>349.9144/373.242*F64</f>
        <v>742.5000530486923</v>
      </c>
      <c r="F64" s="8">
        <v>792</v>
      </c>
      <c r="G64" s="8">
        <f>5760/F64</f>
        <v>7.2727272727272725</v>
      </c>
      <c r="H64" s="20">
        <f>373.242/F64</f>
        <v>0.4712651515151515</v>
      </c>
      <c r="I64" s="20">
        <f>H64*D64</f>
        <v>0.4359202651515151</v>
      </c>
      <c r="J64">
        <v>66</v>
      </c>
      <c r="K64">
        <v>0</v>
      </c>
      <c r="L64" s="20">
        <f>M64*(349.9144/373.242)</f>
        <v>3.0937502210362173</v>
      </c>
      <c r="M64" s="20">
        <f>(F64/240)*0.925/D64</f>
        <v>3.3</v>
      </c>
      <c r="N64" s="20">
        <f>L64*(1/0.925)*1/0.3499144</f>
        <v>9.558322931415988</v>
      </c>
      <c r="O64" s="8">
        <f>N64/$N$22*100</f>
        <v>247.50001768289738</v>
      </c>
      <c r="P64" s="16">
        <f>(I64-I62)/I62</f>
        <v>-0.06060606060606057</v>
      </c>
      <c r="Q64" s="16">
        <f>(N64-N62)/N62</f>
        <v>0.06451612903225784</v>
      </c>
    </row>
    <row r="69" spans="1:19" ht="12.75">
      <c r="A69" s="5" t="s">
        <v>61</v>
      </c>
      <c r="B69">
        <v>4</v>
      </c>
      <c r="C69">
        <v>0</v>
      </c>
      <c r="D69" s="20">
        <f>(B69/12)+(C69/20)/12</f>
        <v>0.3333333333333333</v>
      </c>
      <c r="E69" s="8">
        <f>349.9144/373.242*F69</f>
        <v>450.0000321507226</v>
      </c>
      <c r="F69" s="8">
        <v>480</v>
      </c>
      <c r="H69" s="20">
        <f>373.242/F69</f>
        <v>0.7775875</v>
      </c>
      <c r="I69" s="20">
        <f>H69*D69</f>
        <v>0.2591958333333333</v>
      </c>
      <c r="J69">
        <v>40</v>
      </c>
      <c r="K69">
        <v>0</v>
      </c>
      <c r="L69" s="20">
        <f>M69*(349.9144/373.242)</f>
        <v>5.20312537174273</v>
      </c>
      <c r="M69" s="20">
        <f>(F69/240)*0.925/D69</f>
        <v>5.550000000000001</v>
      </c>
      <c r="N69" s="20">
        <f>L69*(1/0.925)*1/0.3499144</f>
        <v>16.075361293745075</v>
      </c>
      <c r="O69" s="8">
        <f>N69/$N$22*100</f>
        <v>416.2500297394184</v>
      </c>
      <c r="P69" s="16">
        <f>(I69-I46)/I46</f>
        <v>-0.4570135746606336</v>
      </c>
      <c r="Q69" s="16">
        <f>(N69-N46)/N46</f>
        <v>0.8416666666666668</v>
      </c>
      <c r="S69" t="s">
        <v>0</v>
      </c>
    </row>
    <row r="70" spans="1:19" ht="12.75">
      <c r="A70" s="5" t="s">
        <v>61</v>
      </c>
      <c r="B70">
        <v>3</v>
      </c>
      <c r="C70">
        <v>0</v>
      </c>
      <c r="D70" s="20">
        <f>(B70/12)+(C70/20)/12</f>
        <v>0.25</v>
      </c>
      <c r="E70" s="8">
        <f>349.9144/373.242*F70</f>
        <v>405.00002893565033</v>
      </c>
      <c r="F70" s="8">
        <v>432</v>
      </c>
      <c r="H70" s="20">
        <f>373.242/F70</f>
        <v>0.8639861111111111</v>
      </c>
      <c r="I70" s="20">
        <f>H70*D70</f>
        <v>0.21599652777777778</v>
      </c>
      <c r="J70">
        <v>36</v>
      </c>
      <c r="K70">
        <v>0</v>
      </c>
      <c r="L70" s="20">
        <f>M70*(349.9144/373.242)</f>
        <v>6.243750446091275</v>
      </c>
      <c r="M70" s="20">
        <f>(F70/240)*0.925/D70</f>
        <v>6.66</v>
      </c>
      <c r="N70" s="20">
        <f>L70*(1/0.925)*1/0.3499144</f>
        <v>19.290433552494086</v>
      </c>
      <c r="O70" s="8">
        <f>N70/$N$22*100</f>
        <v>499.50003568730193</v>
      </c>
      <c r="P70" s="16">
        <f>(I70-I69)/I69</f>
        <v>-0.16666666666666652</v>
      </c>
      <c r="Q70" s="16">
        <f>(N70-N69)/N69</f>
        <v>0.19999999999999973</v>
      </c>
      <c r="S70" t="s">
        <v>223</v>
      </c>
    </row>
    <row r="71" spans="1:19" ht="12.75">
      <c r="A71" s="5" t="s">
        <v>72</v>
      </c>
      <c r="B71">
        <v>11</v>
      </c>
      <c r="C71">
        <v>2</v>
      </c>
      <c r="D71" s="20">
        <f>(B71/12)+(C71/20)/12</f>
        <v>0.9249999999999999</v>
      </c>
      <c r="E71" s="8">
        <f>349.9144/373.242*F71</f>
        <v>1226.250087610719</v>
      </c>
      <c r="F71" s="8">
        <v>1308</v>
      </c>
      <c r="H71" s="20">
        <f>373.242/F71</f>
        <v>0.2853532110091743</v>
      </c>
      <c r="I71" s="20">
        <f>H71*D71</f>
        <v>0.2639517201834862</v>
      </c>
      <c r="J71">
        <v>109</v>
      </c>
      <c r="K71">
        <v>0</v>
      </c>
      <c r="L71" s="20">
        <f>M71*(349.9144/373.242)</f>
        <v>5.109375365044664</v>
      </c>
      <c r="M71" s="20">
        <f>(F71/240)*0.925/D71</f>
        <v>5.450000000000001</v>
      </c>
      <c r="N71" s="20">
        <f>L71*(1/0.925)*1/0.3499144</f>
        <v>15.785715144308229</v>
      </c>
      <c r="O71" s="8">
        <f>N71/$N$22*100</f>
        <v>408.7500292035731</v>
      </c>
      <c r="P71" s="16">
        <f>(I71-I54)/I54</f>
        <v>-0.44954128440366975</v>
      </c>
      <c r="Q71" s="16">
        <f>(N71-N54)/N54</f>
        <v>0.816666666666667</v>
      </c>
      <c r="S71" t="s">
        <v>128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S33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9.140625" defaultRowHeight="12.75"/>
  <cols>
    <col min="1" max="1" width="10.57421875" style="1" customWidth="1"/>
    <col min="2" max="2" width="16.00390625" style="0" customWidth="1"/>
    <col min="3" max="3" width="9.57421875" style="17" customWidth="1"/>
    <col min="4" max="4" width="11.8515625" style="8" customWidth="1"/>
    <col min="5" max="5" width="16.8515625" style="16" customWidth="1"/>
    <col min="6" max="7" width="13.8515625" style="10" customWidth="1"/>
    <col min="8" max="9" width="10.28125" style="10" customWidth="1"/>
    <col min="10" max="11" width="10.28125" style="17" customWidth="1"/>
    <col min="12" max="12" width="8.7109375" style="17" customWidth="1"/>
    <col min="13" max="13" width="8.7109375" style="10" customWidth="1"/>
    <col min="14" max="15" width="12.140625" style="10" customWidth="1"/>
    <col min="16" max="16" width="10.7109375" style="10" customWidth="1"/>
    <col min="17" max="17" width="11.57421875" style="8" customWidth="1"/>
    <col min="19" max="19" width="7.140625" style="10" customWidth="1"/>
  </cols>
  <sheetData>
    <row r="1" ht="12.75">
      <c r="F1" s="13" t="s">
        <v>104</v>
      </c>
    </row>
    <row r="3" spans="1:19" ht="12.75">
      <c r="A3" s="1" t="s">
        <v>116</v>
      </c>
      <c r="B3" s="1" t="s">
        <v>163</v>
      </c>
      <c r="C3" s="18" t="s">
        <v>125</v>
      </c>
      <c r="D3" s="14" t="s">
        <v>126</v>
      </c>
      <c r="E3" s="19" t="s">
        <v>183</v>
      </c>
      <c r="F3" s="13" t="s">
        <v>165</v>
      </c>
      <c r="G3" s="13" t="s">
        <v>165</v>
      </c>
      <c r="H3" s="13" t="s">
        <v>231</v>
      </c>
      <c r="I3" s="13" t="s">
        <v>135</v>
      </c>
      <c r="J3" s="18" t="s">
        <v>169</v>
      </c>
      <c r="K3" s="18" t="s">
        <v>179</v>
      </c>
      <c r="L3" s="18"/>
      <c r="M3" s="13"/>
      <c r="N3" s="13" t="s">
        <v>170</v>
      </c>
      <c r="O3" s="13" t="s">
        <v>170</v>
      </c>
      <c r="P3" s="13" t="s">
        <v>169</v>
      </c>
      <c r="Q3" s="14" t="s">
        <v>158</v>
      </c>
      <c r="R3" s="1"/>
      <c r="S3" s="13" t="s">
        <v>131</v>
      </c>
    </row>
    <row r="4" spans="3:19" ht="12.75">
      <c r="C4" s="18" t="s">
        <v>142</v>
      </c>
      <c r="D4" s="14" t="s">
        <v>134</v>
      </c>
      <c r="E4" s="19" t="s">
        <v>124</v>
      </c>
      <c r="F4" s="13" t="s">
        <v>216</v>
      </c>
      <c r="G4" s="13" t="s">
        <v>220</v>
      </c>
      <c r="H4" s="13" t="s">
        <v>129</v>
      </c>
      <c r="I4" s="13" t="s">
        <v>185</v>
      </c>
      <c r="J4" s="18" t="s">
        <v>224</v>
      </c>
      <c r="K4" s="18" t="s">
        <v>195</v>
      </c>
      <c r="L4" s="18" t="s">
        <v>181</v>
      </c>
      <c r="M4" s="13" t="s">
        <v>118</v>
      </c>
      <c r="N4" s="13" t="s">
        <v>225</v>
      </c>
      <c r="O4" s="13" t="s">
        <v>225</v>
      </c>
      <c r="P4" s="13" t="s">
        <v>226</v>
      </c>
      <c r="Q4" s="14" t="s">
        <v>229</v>
      </c>
      <c r="R4" s="1"/>
      <c r="S4" s="13" t="s">
        <v>197</v>
      </c>
    </row>
    <row r="5" spans="4:19" ht="12.75">
      <c r="D5" s="14" t="s">
        <v>123</v>
      </c>
      <c r="E5" s="19" t="s">
        <v>97</v>
      </c>
      <c r="F5" s="13" t="s">
        <v>98</v>
      </c>
      <c r="G5" s="13" t="s">
        <v>100</v>
      </c>
      <c r="H5" s="13" t="s">
        <v>109</v>
      </c>
      <c r="I5" s="13"/>
      <c r="J5" s="18" t="s">
        <v>181</v>
      </c>
      <c r="K5" s="18"/>
      <c r="L5" s="18" t="s">
        <v>111</v>
      </c>
      <c r="M5" s="13" t="s">
        <v>2</v>
      </c>
      <c r="N5" s="13" t="s">
        <v>215</v>
      </c>
      <c r="O5" s="13" t="s">
        <v>219</v>
      </c>
      <c r="P5" s="13" t="s">
        <v>160</v>
      </c>
      <c r="Q5" s="14" t="s">
        <v>31</v>
      </c>
      <c r="R5" s="1"/>
      <c r="S5" s="13" t="s">
        <v>190</v>
      </c>
    </row>
    <row r="6" spans="6:19" ht="12.75">
      <c r="F6" s="13"/>
      <c r="G6" s="13"/>
      <c r="I6" s="13"/>
      <c r="J6" s="18"/>
      <c r="K6" s="18"/>
      <c r="L6" s="18" t="s">
        <v>181</v>
      </c>
      <c r="M6" s="13"/>
      <c r="N6" s="13" t="s">
        <v>1</v>
      </c>
      <c r="O6" s="13" t="s">
        <v>1</v>
      </c>
      <c r="P6" s="13" t="s">
        <v>185</v>
      </c>
      <c r="Q6" s="14">
        <f>100</f>
        <v>100</v>
      </c>
      <c r="R6" s="1"/>
      <c r="S6" s="13"/>
    </row>
    <row r="8" spans="1:19" ht="12.75">
      <c r="A8" s="1" t="s">
        <v>8</v>
      </c>
      <c r="B8" t="s">
        <v>130</v>
      </c>
      <c r="C8" s="17">
        <v>23</v>
      </c>
      <c r="D8" s="8">
        <v>3.5</v>
      </c>
      <c r="E8" s="16">
        <f>(C8+D8/4)/24</f>
        <v>0.9947916666666666</v>
      </c>
      <c r="F8" s="10">
        <v>121</v>
      </c>
      <c r="G8" s="10">
        <f>F8*(373.242/349.9144)</f>
        <v>129.06665744536377</v>
      </c>
      <c r="H8" s="10">
        <f>349.9144/F8</f>
        <v>2.8918545454545455</v>
      </c>
      <c r="I8" s="10">
        <f>H8*E8</f>
        <v>2.8767928030303027</v>
      </c>
      <c r="J8" s="17">
        <f>(K8*12)+L8</f>
        <v>20</v>
      </c>
      <c r="K8" s="17">
        <v>1</v>
      </c>
      <c r="L8" s="17">
        <v>8</v>
      </c>
      <c r="M8" s="10">
        <f>(K8/20)+(L8/240)</f>
        <v>0.08333333333333334</v>
      </c>
      <c r="N8" s="10">
        <f>(F8*J8)/240</f>
        <v>10.083333333333334</v>
      </c>
      <c r="O8" s="9">
        <f>G8*M8</f>
        <v>10.755554787113649</v>
      </c>
      <c r="P8" s="10">
        <f>(1000/349.9144/0.9947917)*N8</f>
        <v>28.967442651146854</v>
      </c>
      <c r="Q8" s="8">
        <f>(P8/$P$16)*100</f>
        <v>67.22222222222223</v>
      </c>
      <c r="S8" s="10" t="e">
        <f>#N/A</f>
        <v>#N/A</v>
      </c>
    </row>
    <row r="10" spans="1:19" ht="12.75">
      <c r="A10" s="1" t="s">
        <v>19</v>
      </c>
      <c r="B10" t="s">
        <v>121</v>
      </c>
      <c r="C10" s="17">
        <v>23</v>
      </c>
      <c r="D10" s="8">
        <v>3.5</v>
      </c>
      <c r="E10" s="16">
        <f>(C10+D10/4)/24</f>
        <v>0.9947916666666666</v>
      </c>
      <c r="F10" s="10">
        <v>50</v>
      </c>
      <c r="G10" s="10">
        <f>F10*(373.242/349.9144)</f>
        <v>53.33332952287759</v>
      </c>
      <c r="H10" s="10">
        <f>349.9144/F10</f>
        <v>6.998288</v>
      </c>
      <c r="I10" s="10">
        <f>H10*E10</f>
        <v>6.961838583333333</v>
      </c>
      <c r="J10" s="17">
        <f>(K10*12)+L10</f>
        <v>72</v>
      </c>
      <c r="K10" s="17">
        <v>6</v>
      </c>
      <c r="L10" s="17">
        <v>0</v>
      </c>
      <c r="M10" s="10">
        <f>(K10/20)+(L10/240)</f>
        <v>0.3</v>
      </c>
      <c r="N10" s="10">
        <f>(F10*J10)/240</f>
        <v>15</v>
      </c>
      <c r="O10" s="9">
        <f>G10*M10</f>
        <v>15.999998856863277</v>
      </c>
      <c r="P10" s="10">
        <f>(1000/349.9144/0.9947917)*N10</f>
        <v>43.09206344798705</v>
      </c>
      <c r="Q10" s="8">
        <f>(P10/$P$16)*100</f>
        <v>100</v>
      </c>
      <c r="S10" s="10" t="e">
        <f>#N/A</f>
        <v>#N/A</v>
      </c>
    </row>
    <row r="12" spans="1:19" ht="12.75">
      <c r="A12" s="1" t="s">
        <v>18</v>
      </c>
      <c r="B12" t="s">
        <v>168</v>
      </c>
      <c r="C12" s="17">
        <v>23</v>
      </c>
      <c r="D12" s="8">
        <v>3.5</v>
      </c>
      <c r="E12" s="16">
        <f>(C12+D12/4)/24</f>
        <v>0.9947916666666666</v>
      </c>
      <c r="F12" s="10">
        <v>39.5</v>
      </c>
      <c r="G12" s="10">
        <f>F12*(373.242/349.9144)</f>
        <v>42.133330323073295</v>
      </c>
      <c r="H12" s="10">
        <f>349.9144/F12</f>
        <v>8.858592405063291</v>
      </c>
      <c r="I12" s="10">
        <f>H12*E12</f>
        <v>8.812453902953585</v>
      </c>
      <c r="J12" s="17">
        <f>(K12*12)+L12</f>
        <v>80</v>
      </c>
      <c r="K12" s="17">
        <v>6</v>
      </c>
      <c r="L12" s="17">
        <v>8</v>
      </c>
      <c r="M12" s="10">
        <f>(K12/20)+(L12/240)</f>
        <v>0.3333333333333333</v>
      </c>
      <c r="N12" s="10">
        <f>(F12*J12)/240</f>
        <v>13.166666666666666</v>
      </c>
      <c r="O12" s="9">
        <f>G12*M12</f>
        <v>14.04444344102443</v>
      </c>
      <c r="P12" s="10">
        <f>(1000/349.9144/0.9947917)*N12</f>
        <v>37.82525569323308</v>
      </c>
      <c r="Q12" s="8">
        <f>(P12/$P$16)*100</f>
        <v>87.77777777777779</v>
      </c>
      <c r="S12" s="10" t="e">
        <f>#N/A</f>
        <v>#N/A</v>
      </c>
    </row>
    <row r="14" spans="1:19" ht="12.75">
      <c r="A14" s="1" t="s">
        <v>24</v>
      </c>
      <c r="B14" t="s">
        <v>168</v>
      </c>
      <c r="C14" s="17">
        <v>23</v>
      </c>
      <c r="D14" s="8">
        <v>3.5</v>
      </c>
      <c r="E14" s="16">
        <f>(C14+D14/4)/24</f>
        <v>0.9947916666666666</v>
      </c>
      <c r="F14" s="10">
        <v>42</v>
      </c>
      <c r="G14" s="10">
        <f>F14*(373.242/349.9144)</f>
        <v>44.799996799217176</v>
      </c>
      <c r="H14" s="10">
        <f>349.9144/F14</f>
        <v>8.331295238095239</v>
      </c>
      <c r="I14" s="10">
        <f>H14*E14</f>
        <v>8.287903075396825</v>
      </c>
      <c r="J14" s="17">
        <f>(K14*12)+L14</f>
        <v>80</v>
      </c>
      <c r="K14" s="17">
        <v>6</v>
      </c>
      <c r="L14" s="17">
        <v>8</v>
      </c>
      <c r="M14" s="10">
        <f>(K14/20)+(L14/240)</f>
        <v>0.3333333333333333</v>
      </c>
      <c r="N14" s="10">
        <f>(F14*J14)/240</f>
        <v>14</v>
      </c>
      <c r="O14" s="9">
        <f>G14*M14</f>
        <v>14.933332266405724</v>
      </c>
      <c r="P14" s="10">
        <f>(1000/349.9144/0.9947917)*N14</f>
        <v>40.21925921812125</v>
      </c>
      <c r="Q14" s="8">
        <f>(P14/$P$16)*100</f>
        <v>93.33333333333334</v>
      </c>
      <c r="S14" s="10" t="e">
        <f>#N/A</f>
        <v>#N/A</v>
      </c>
    </row>
    <row r="16" spans="1:19" ht="12.75">
      <c r="A16" s="1" t="s">
        <v>28</v>
      </c>
      <c r="B16" t="s">
        <v>168</v>
      </c>
      <c r="C16" s="17">
        <v>23</v>
      </c>
      <c r="D16" s="8">
        <v>3.5</v>
      </c>
      <c r="E16" s="16">
        <f>(C16+D16/4)/24</f>
        <v>0.9947916666666666</v>
      </c>
      <c r="F16" s="10">
        <v>45</v>
      </c>
      <c r="G16" s="10">
        <f>F16*(373.242/349.9144)</f>
        <v>47.999996570589836</v>
      </c>
      <c r="H16" s="10">
        <f>349.9144/F16</f>
        <v>7.775875555555555</v>
      </c>
      <c r="I16" s="10">
        <f>H16*E16</f>
        <v>7.735376203703703</v>
      </c>
      <c r="J16" s="17">
        <f>(K16*12)+L16</f>
        <v>80</v>
      </c>
      <c r="K16" s="17">
        <v>6</v>
      </c>
      <c r="L16" s="17">
        <v>8</v>
      </c>
      <c r="M16" s="10">
        <f>(K16/20)+(L16/240)</f>
        <v>0.3333333333333333</v>
      </c>
      <c r="N16" s="10">
        <f>(F16*J16)/240</f>
        <v>15</v>
      </c>
      <c r="O16" s="9">
        <f>G16*M16</f>
        <v>15.999998856863279</v>
      </c>
      <c r="P16" s="10">
        <f>(1000/349.9144/0.9947917)*N16</f>
        <v>43.09206344798705</v>
      </c>
      <c r="Q16" s="8">
        <f>(P16/$P$16)*100</f>
        <v>100</v>
      </c>
      <c r="S16" s="10" t="e">
        <f>#N/A</f>
        <v>#N/A</v>
      </c>
    </row>
    <row r="18" spans="1:19" ht="12.75">
      <c r="A18" s="1" t="s">
        <v>32</v>
      </c>
      <c r="B18" t="s">
        <v>168</v>
      </c>
      <c r="C18" s="17">
        <v>23</v>
      </c>
      <c r="D18" s="8">
        <v>3.5</v>
      </c>
      <c r="E18" s="16">
        <f>(C18+D18/4)/24</f>
        <v>0.9947916666666666</v>
      </c>
      <c r="F18" s="10">
        <v>50</v>
      </c>
      <c r="G18" s="10">
        <f>F18*(373.242/349.9144)</f>
        <v>53.33332952287759</v>
      </c>
      <c r="H18" s="10">
        <f>349.9144/F18</f>
        <v>6.998288</v>
      </c>
      <c r="I18" s="10">
        <f>H18*E18</f>
        <v>6.961838583333333</v>
      </c>
      <c r="J18" s="17">
        <f>(K18*12)+L18</f>
        <v>80</v>
      </c>
      <c r="K18" s="17">
        <v>6</v>
      </c>
      <c r="L18" s="17">
        <v>8</v>
      </c>
      <c r="M18" s="10">
        <f>(K18/20)+(L18/240)</f>
        <v>0.3333333333333333</v>
      </c>
      <c r="N18" s="10">
        <f>(F18*J18)/240</f>
        <v>16.666666666666668</v>
      </c>
      <c r="O18" s="9">
        <f>G18*M18</f>
        <v>17.777776507625862</v>
      </c>
      <c r="P18" s="10">
        <f>(1000/349.9144/0.9947917)*N18</f>
        <v>47.8800704977634</v>
      </c>
      <c r="Q18" s="8">
        <f>(P18/$P$16)*100</f>
        <v>111.11111111111114</v>
      </c>
      <c r="S18" s="10" t="e">
        <f>#N/A</f>
        <v>#N/A</v>
      </c>
    </row>
    <row r="20" spans="1:19" ht="12.75">
      <c r="A20" s="1" t="s">
        <v>37</v>
      </c>
      <c r="B20" t="s">
        <v>107</v>
      </c>
      <c r="C20" s="17">
        <v>23</v>
      </c>
      <c r="D20" s="8">
        <v>3.5</v>
      </c>
      <c r="E20" s="16">
        <f>(C20+D20/4)/24</f>
        <v>0.9947916666666666</v>
      </c>
      <c r="F20" s="10">
        <v>67.5</v>
      </c>
      <c r="G20" s="10">
        <f>F20*(373.242/349.9144)</f>
        <v>71.99999485588475</v>
      </c>
      <c r="H20" s="10">
        <f>349.9144/F20</f>
        <v>5.183917037037037</v>
      </c>
      <c r="I20" s="10">
        <f>H20*E20</f>
        <v>5.156917469135802</v>
      </c>
      <c r="J20" s="17">
        <f>(K20*12)+L20</f>
        <v>80</v>
      </c>
      <c r="K20" s="17">
        <v>6</v>
      </c>
      <c r="L20" s="17">
        <v>8</v>
      </c>
      <c r="M20" s="10">
        <f>(K20/20)+(L20/240)</f>
        <v>0.3333333333333333</v>
      </c>
      <c r="N20" s="10">
        <f>(F20*J20)/240</f>
        <v>22.5</v>
      </c>
      <c r="O20" s="9">
        <f>G20*M20</f>
        <v>23.999998285294915</v>
      </c>
      <c r="P20" s="10">
        <f>(1000/349.9144/0.9947917)*N20</f>
        <v>64.63809517198058</v>
      </c>
      <c r="Q20" s="8">
        <f>(P20/$P$16)*100</f>
        <v>150</v>
      </c>
      <c r="S20" s="10" t="e">
        <f>#N/A</f>
        <v>#N/A</v>
      </c>
    </row>
    <row r="21" spans="2:19" ht="12.75">
      <c r="B21" t="s">
        <v>192</v>
      </c>
      <c r="C21" s="17">
        <v>23</v>
      </c>
      <c r="D21" s="8">
        <v>3.5</v>
      </c>
      <c r="E21" s="16">
        <f>(C21+D21/4)/24</f>
        <v>0.9947916666666666</v>
      </c>
      <c r="F21" s="10">
        <v>45</v>
      </c>
      <c r="G21" s="10">
        <f>F21*(373.242/349.9144)</f>
        <v>47.999996570589836</v>
      </c>
      <c r="H21" s="10">
        <f>349.9144/F21</f>
        <v>7.775875555555555</v>
      </c>
      <c r="I21" s="10">
        <f>H21*E21</f>
        <v>7.735376203703703</v>
      </c>
      <c r="J21" s="17">
        <f>(K21*12)+L21</f>
        <v>120</v>
      </c>
      <c r="K21" s="17">
        <v>10</v>
      </c>
      <c r="L21" s="17">
        <v>0</v>
      </c>
      <c r="M21" s="10">
        <f>(K21/20)+(L21/240)</f>
        <v>0.5</v>
      </c>
      <c r="N21" s="10">
        <f>(F21*J21)/240</f>
        <v>22.5</v>
      </c>
      <c r="O21" s="9">
        <f>G21*M21</f>
        <v>23.999998285294918</v>
      </c>
      <c r="P21" s="10">
        <f>(1000/349.9144/0.9947917)*N21</f>
        <v>64.63809517198058</v>
      </c>
      <c r="Q21" s="8">
        <f>(P21/$P$16)*100</f>
        <v>150</v>
      </c>
      <c r="S21" s="10" t="e">
        <f>#N/A</f>
        <v>#N/A</v>
      </c>
    </row>
    <row r="22" ht="12.75">
      <c r="O22" s="9"/>
    </row>
    <row r="23" spans="1:19" ht="12.75">
      <c r="A23" s="1" t="s">
        <v>38</v>
      </c>
      <c r="B23" t="s">
        <v>199</v>
      </c>
      <c r="C23" s="17">
        <v>23</v>
      </c>
      <c r="D23" s="8">
        <v>3.5</v>
      </c>
      <c r="E23" s="16">
        <f>(C23+D23/4)/24</f>
        <v>0.9947916666666666</v>
      </c>
      <c r="F23" s="10">
        <v>22.5</v>
      </c>
      <c r="G23" s="10">
        <f>F23*(373.242/349.9144)</f>
        <v>23.999998285294918</v>
      </c>
      <c r="H23" s="10">
        <f>349.9144/F23</f>
        <v>15.55175111111111</v>
      </c>
      <c r="I23" s="10">
        <f>H23*E23</f>
        <v>15.470752407407407</v>
      </c>
      <c r="J23" s="17">
        <v>240</v>
      </c>
      <c r="K23" s="17">
        <v>20</v>
      </c>
      <c r="L23" s="17">
        <v>0</v>
      </c>
      <c r="M23" s="10">
        <f>(K23/20)+(L23/240)</f>
        <v>1</v>
      </c>
      <c r="N23" s="10">
        <f>(F23*J23)/240</f>
        <v>22.5</v>
      </c>
      <c r="O23" s="9">
        <f>G23*M23</f>
        <v>23.999998285294918</v>
      </c>
      <c r="P23" s="10">
        <f>(1000/349.9144/0.9947917)*N23</f>
        <v>64.63809517198058</v>
      </c>
      <c r="Q23" s="8">
        <f>(P23/$P$16)*100</f>
        <v>150</v>
      </c>
      <c r="S23" s="10">
        <v>11.158</v>
      </c>
    </row>
    <row r="24" ht="12.75">
      <c r="O24" s="9"/>
    </row>
    <row r="25" spans="1:19" ht="12.75">
      <c r="A25" s="1" t="s">
        <v>40</v>
      </c>
      <c r="B25" t="s">
        <v>107</v>
      </c>
      <c r="C25" s="17">
        <v>23</v>
      </c>
      <c r="D25" s="8">
        <v>3.5</v>
      </c>
      <c r="E25" s="16">
        <f>(C25+D25/4)/24</f>
        <v>0.9947916666666666</v>
      </c>
      <c r="F25" s="10">
        <v>67.5</v>
      </c>
      <c r="G25" s="10">
        <f>F25*(373.242/349.9144)</f>
        <v>71.99999485588475</v>
      </c>
      <c r="H25" s="10">
        <f>373.242/G25</f>
        <v>5.1839170370370375</v>
      </c>
      <c r="I25" s="10">
        <f>H25*E25</f>
        <v>5.156917469135803</v>
      </c>
      <c r="J25" s="17">
        <f>(K25*12)+L25</f>
        <v>90</v>
      </c>
      <c r="K25" s="17">
        <v>7</v>
      </c>
      <c r="L25" s="17">
        <v>6</v>
      </c>
      <c r="M25" s="10">
        <f>(K25/20)+(L25/240)</f>
        <v>0.375</v>
      </c>
      <c r="N25" s="10">
        <f>(F25*J25)/240</f>
        <v>25.3125</v>
      </c>
      <c r="O25" s="9">
        <f>G25*M25</f>
        <v>26.99999807095678</v>
      </c>
      <c r="P25" s="10">
        <f>(1000/349.9144/0.9947917)*N25</f>
        <v>72.71785706847815</v>
      </c>
      <c r="Q25" s="8">
        <f>(P25/$P$16)*100</f>
        <v>168.75</v>
      </c>
      <c r="S25" s="10" t="e">
        <f>#N/A</f>
        <v>#N/A</v>
      </c>
    </row>
    <row r="26" spans="2:19" ht="12.75">
      <c r="B26" t="s">
        <v>202</v>
      </c>
      <c r="C26" s="17">
        <v>23</v>
      </c>
      <c r="D26" s="8">
        <v>3.5</v>
      </c>
      <c r="E26" s="16">
        <f>(C26+D26/4)/24</f>
        <v>0.9947916666666666</v>
      </c>
      <c r="F26" s="10">
        <v>75.9375054</v>
      </c>
      <c r="G26" s="10">
        <f>F26*(373.242/349.914)</f>
        <v>81.0000925670502</v>
      </c>
      <c r="H26" s="10">
        <f>373.242/G26</f>
        <v>4.607920659979962</v>
      </c>
      <c r="I26" s="10">
        <f>H26*E26</f>
        <v>4.5839210732092335</v>
      </c>
      <c r="J26" s="17">
        <f>(K26*12)+L26</f>
        <v>80</v>
      </c>
      <c r="K26" s="17">
        <v>6</v>
      </c>
      <c r="L26" s="17">
        <v>8</v>
      </c>
      <c r="M26" s="10">
        <f>(K26/20)+(L26/240)</f>
        <v>0.3333333333333333</v>
      </c>
      <c r="N26" s="10">
        <f>(F26*J26)/240</f>
        <v>25.312501800000003</v>
      </c>
      <c r="O26" s="9">
        <f>G26*M26</f>
        <v>27.0000308556834</v>
      </c>
      <c r="P26" s="10">
        <f>(1000/349.9144/0.9947917)*N26</f>
        <v>72.71786223952577</v>
      </c>
      <c r="Q26" s="8">
        <f>(P26/$P$16)*100</f>
        <v>168.75001200000003</v>
      </c>
      <c r="S26" s="10" t="e">
        <f>#N/A</f>
        <v>#N/A</v>
      </c>
    </row>
    <row r="27" spans="2:19" ht="12.75">
      <c r="B27" t="s">
        <v>115</v>
      </c>
      <c r="C27" s="17">
        <v>22</v>
      </c>
      <c r="D27" s="8">
        <v>0</v>
      </c>
      <c r="E27" s="16">
        <f>(C27+D27/8)/24</f>
        <v>0.9166666666666666</v>
      </c>
      <c r="F27" s="10">
        <v>101.25</v>
      </c>
      <c r="G27" s="10">
        <f>F27*(373.242/349.9144)</f>
        <v>107.99999228382713</v>
      </c>
      <c r="H27" s="10">
        <f>373.242/G27</f>
        <v>3.455944691358025</v>
      </c>
      <c r="I27" s="10">
        <f>H27*E27</f>
        <v>3.167949300411523</v>
      </c>
      <c r="J27" s="17">
        <f>(K27*12)+L27</f>
        <v>60</v>
      </c>
      <c r="K27" s="17">
        <v>5</v>
      </c>
      <c r="L27" s="17">
        <v>0</v>
      </c>
      <c r="M27" s="10">
        <f>(K27/20)+(L27/240)</f>
        <v>0.25</v>
      </c>
      <c r="N27" s="10">
        <f>(F27*J27)/240</f>
        <v>25.3125</v>
      </c>
      <c r="O27" s="9">
        <f>G27*M27</f>
        <v>26.99999807095678</v>
      </c>
      <c r="P27" s="10">
        <f>(1000/349.9144/0.9947917)*N27</f>
        <v>72.71785706847815</v>
      </c>
      <c r="Q27" s="8">
        <f>(P27/$P$16)*100</f>
        <v>168.75</v>
      </c>
      <c r="S27" s="10" t="e">
        <f>#N/A</f>
        <v>#N/A</v>
      </c>
    </row>
    <row r="29" ht="12.75">
      <c r="A29" s="1" t="s">
        <v>172</v>
      </c>
    </row>
    <row r="31" spans="1:2" ht="12.75">
      <c r="A31" s="5" t="s">
        <v>9</v>
      </c>
      <c r="B31" s="10" t="s">
        <v>208</v>
      </c>
    </row>
    <row r="33" spans="1:2" ht="12.75">
      <c r="A33" s="1" t="s">
        <v>42</v>
      </c>
      <c r="B33" t="s">
        <v>141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AE223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0" sqref="B10"/>
    </sheetView>
  </sheetViews>
  <sheetFormatPr defaultColWidth="9.140625" defaultRowHeight="12.75"/>
  <cols>
    <col min="1" max="1" width="10.28125" style="1" customWidth="1"/>
    <col min="2" max="2" width="19.140625" style="0" customWidth="1"/>
    <col min="3" max="3" width="10.00390625" style="17" customWidth="1"/>
    <col min="4" max="4" width="12.00390625" style="8" customWidth="1"/>
    <col min="5" max="5" width="12.421875" style="16" customWidth="1"/>
    <col min="6" max="6" width="15.57421875" style="10" customWidth="1"/>
    <col min="7" max="8" width="12.00390625" style="10" customWidth="1"/>
    <col min="9" max="9" width="13.8515625" style="10" customWidth="1"/>
    <col min="10" max="10" width="11.7109375" style="10" customWidth="1"/>
    <col min="11" max="11" width="10.57421875" style="10" customWidth="1"/>
    <col min="12" max="12" width="9.57421875" style="17" customWidth="1"/>
    <col min="13" max="13" width="9.421875" style="17" customWidth="1"/>
    <col min="14" max="14" width="7.8515625" style="8" customWidth="1"/>
    <col min="15" max="15" width="10.28125" style="10" customWidth="1"/>
    <col min="16" max="18" width="12.421875" style="10" customWidth="1"/>
    <col min="19" max="19" width="10.57421875" style="10" customWidth="1"/>
    <col min="20" max="20" width="13.00390625" style="10" customWidth="1"/>
    <col min="21" max="21" width="12.57421875" style="8" customWidth="1"/>
    <col min="22" max="22" width="12.57421875" style="0" customWidth="1"/>
    <col min="23" max="23" width="10.00390625" style="20" customWidth="1"/>
    <col min="24" max="24" width="10.57421875" style="10" customWidth="1"/>
    <col min="25" max="25" width="9.00390625" style="10" customWidth="1"/>
  </cols>
  <sheetData>
    <row r="1" ht="12.75">
      <c r="D1" s="13" t="s">
        <v>105</v>
      </c>
    </row>
    <row r="3" spans="1:31" ht="12.75">
      <c r="A3" s="1" t="s">
        <v>116</v>
      </c>
      <c r="B3" s="1" t="s">
        <v>163</v>
      </c>
      <c r="C3" s="18" t="s">
        <v>125</v>
      </c>
      <c r="D3" s="14" t="s">
        <v>126</v>
      </c>
      <c r="E3" s="19" t="s">
        <v>183</v>
      </c>
      <c r="F3" s="13" t="s">
        <v>165</v>
      </c>
      <c r="G3" s="13" t="s">
        <v>165</v>
      </c>
      <c r="H3" s="13" t="s">
        <v>231</v>
      </c>
      <c r="I3" s="13" t="s">
        <v>231</v>
      </c>
      <c r="J3" s="13" t="s">
        <v>231</v>
      </c>
      <c r="K3" s="13" t="s">
        <v>135</v>
      </c>
      <c r="L3" s="18" t="s">
        <v>169</v>
      </c>
      <c r="M3" s="18" t="s">
        <v>178</v>
      </c>
      <c r="N3" s="14"/>
      <c r="O3" s="13"/>
      <c r="P3" s="13" t="s">
        <v>170</v>
      </c>
      <c r="Q3" s="13" t="s">
        <v>170</v>
      </c>
      <c r="R3" s="13" t="s">
        <v>170</v>
      </c>
      <c r="S3" s="13" t="s">
        <v>169</v>
      </c>
      <c r="T3" s="13" t="s">
        <v>135</v>
      </c>
      <c r="U3" s="14" t="s">
        <v>158</v>
      </c>
      <c r="V3" s="1"/>
      <c r="W3" s="13" t="s">
        <v>169</v>
      </c>
      <c r="X3" s="13" t="s">
        <v>169</v>
      </c>
      <c r="Y3" s="13" t="s">
        <v>131</v>
      </c>
      <c r="AE3" s="10"/>
    </row>
    <row r="4" spans="3:31" ht="12.75">
      <c r="C4" s="18" t="s">
        <v>142</v>
      </c>
      <c r="D4" s="14" t="s">
        <v>134</v>
      </c>
      <c r="E4" s="19" t="s">
        <v>124</v>
      </c>
      <c r="F4" s="13" t="s">
        <v>216</v>
      </c>
      <c r="G4" s="13" t="s">
        <v>220</v>
      </c>
      <c r="H4" s="13" t="s">
        <v>129</v>
      </c>
      <c r="I4" s="13" t="s">
        <v>129</v>
      </c>
      <c r="J4" s="13" t="s">
        <v>129</v>
      </c>
      <c r="K4" s="13" t="s">
        <v>185</v>
      </c>
      <c r="L4" s="18" t="s">
        <v>226</v>
      </c>
      <c r="M4" s="18" t="s">
        <v>225</v>
      </c>
      <c r="N4" s="14" t="s">
        <v>181</v>
      </c>
      <c r="O4" s="13" t="s">
        <v>118</v>
      </c>
      <c r="P4" s="13" t="s">
        <v>225</v>
      </c>
      <c r="Q4" s="13" t="s">
        <v>225</v>
      </c>
      <c r="R4" s="13" t="s">
        <v>225</v>
      </c>
      <c r="S4" s="13" t="s">
        <v>226</v>
      </c>
      <c r="T4" s="13" t="s">
        <v>185</v>
      </c>
      <c r="U4" s="14" t="s">
        <v>229</v>
      </c>
      <c r="V4" s="1"/>
      <c r="W4" s="13" t="s">
        <v>226</v>
      </c>
      <c r="X4" s="13" t="s">
        <v>226</v>
      </c>
      <c r="Y4" s="13" t="s">
        <v>197</v>
      </c>
      <c r="AE4" s="10"/>
    </row>
    <row r="5" spans="4:31" ht="12.75">
      <c r="D5" s="14" t="s">
        <v>123</v>
      </c>
      <c r="E5" s="19" t="s">
        <v>97</v>
      </c>
      <c r="F5" s="13" t="s">
        <v>99</v>
      </c>
      <c r="G5" s="13" t="s">
        <v>100</v>
      </c>
      <c r="H5" s="13" t="s">
        <v>110</v>
      </c>
      <c r="I5" s="13" t="s">
        <v>112</v>
      </c>
      <c r="J5" s="13" t="s">
        <v>112</v>
      </c>
      <c r="K5" s="13"/>
      <c r="L5" s="18" t="s">
        <v>207</v>
      </c>
      <c r="M5" s="18" t="s">
        <v>111</v>
      </c>
      <c r="N5" s="14" t="s">
        <v>111</v>
      </c>
      <c r="O5" s="13" t="s">
        <v>2</v>
      </c>
      <c r="P5" s="13" t="s">
        <v>215</v>
      </c>
      <c r="Q5" s="13" t="s">
        <v>219</v>
      </c>
      <c r="R5" s="13" t="s">
        <v>219</v>
      </c>
      <c r="S5" s="13" t="s">
        <v>160</v>
      </c>
      <c r="T5" s="13" t="s">
        <v>153</v>
      </c>
      <c r="U5" s="14" t="s">
        <v>31</v>
      </c>
      <c r="V5" s="1"/>
      <c r="W5" s="13" t="s">
        <v>160</v>
      </c>
      <c r="X5" s="13" t="s">
        <v>160</v>
      </c>
      <c r="Y5" s="13" t="s">
        <v>190</v>
      </c>
      <c r="AE5" s="10"/>
    </row>
    <row r="6" spans="4:31" ht="12.75">
      <c r="D6" s="14" t="s">
        <v>133</v>
      </c>
      <c r="F6" s="13"/>
      <c r="G6" s="13" t="s">
        <v>101</v>
      </c>
      <c r="H6" s="13" t="s">
        <v>155</v>
      </c>
      <c r="I6" s="13" t="s">
        <v>216</v>
      </c>
      <c r="J6" s="1" t="s">
        <v>220</v>
      </c>
      <c r="K6" s="13"/>
      <c r="L6" s="18" t="s">
        <v>148</v>
      </c>
      <c r="M6" s="18" t="s">
        <v>196</v>
      </c>
      <c r="N6" s="14" t="s">
        <v>181</v>
      </c>
      <c r="O6" s="13"/>
      <c r="P6" s="13" t="s">
        <v>1</v>
      </c>
      <c r="Q6" s="13" t="s">
        <v>1</v>
      </c>
      <c r="R6" s="13" t="s">
        <v>1</v>
      </c>
      <c r="S6" s="13" t="s">
        <v>185</v>
      </c>
      <c r="T6" s="13" t="s">
        <v>203</v>
      </c>
      <c r="U6" s="14">
        <f>100</f>
        <v>100</v>
      </c>
      <c r="V6" s="1"/>
      <c r="W6" s="21" t="s">
        <v>197</v>
      </c>
      <c r="X6" s="13" t="s">
        <v>185</v>
      </c>
      <c r="Y6" s="13"/>
      <c r="AE6" s="10"/>
    </row>
    <row r="7" spans="8:31" ht="12.75">
      <c r="H7" s="13" t="s">
        <v>132</v>
      </c>
      <c r="I7" s="13" t="s">
        <v>144</v>
      </c>
      <c r="J7" s="13" t="s">
        <v>144</v>
      </c>
      <c r="Q7" s="13" t="s">
        <v>161</v>
      </c>
      <c r="R7" s="13" t="s">
        <v>162</v>
      </c>
      <c r="AE7" s="10"/>
    </row>
    <row r="8" ht="12.75">
      <c r="AE8" s="10"/>
    </row>
    <row r="9" ht="12.75">
      <c r="AE9" s="10"/>
    </row>
    <row r="10" spans="1:31" ht="12.75">
      <c r="A10" s="1" t="s">
        <v>8</v>
      </c>
      <c r="B10" t="s">
        <v>130</v>
      </c>
      <c r="C10" s="17">
        <v>23</v>
      </c>
      <c r="D10" s="8">
        <v>3.5</v>
      </c>
      <c r="E10" s="16">
        <f>(C10+D10/4)/24</f>
        <v>0.9947916666666666</v>
      </c>
      <c r="F10" s="10">
        <v>121</v>
      </c>
      <c r="G10" s="10">
        <f>F10*(373.242/349.9144375)</f>
        <v>129.0666436134119</v>
      </c>
      <c r="H10" s="10">
        <f>5760/G10</f>
        <v>44.62810714480726</v>
      </c>
      <c r="I10" s="10">
        <f>349.9144375/F10</f>
        <v>2.891854855371901</v>
      </c>
      <c r="J10" s="10">
        <f>373.242/G10</f>
        <v>2.8918548553719012</v>
      </c>
      <c r="K10" s="10">
        <f>J10*E10</f>
        <v>2.8767931113335057</v>
      </c>
      <c r="L10" s="17">
        <f>(M10*12)+N10</f>
        <v>20</v>
      </c>
      <c r="M10" s="17">
        <v>1</v>
      </c>
      <c r="N10" s="8">
        <v>8</v>
      </c>
      <c r="O10" s="10">
        <f>(M10/20)+(N10/240)</f>
        <v>0.08333333333333334</v>
      </c>
      <c r="P10" s="10">
        <f>(F10*L10)/240</f>
        <v>10.083333333333334</v>
      </c>
      <c r="Q10" s="9">
        <f>G10*O10</f>
        <v>10.755553634450994</v>
      </c>
      <c r="R10" s="9">
        <f>G10*O10</f>
        <v>10.755553634450994</v>
      </c>
      <c r="S10" s="10">
        <f>(1000/349.9144/0.9947917)*P10</f>
        <v>28.967442651146854</v>
      </c>
      <c r="T10" s="10">
        <f>240/L10*K10</f>
        <v>34.52151733600207</v>
      </c>
      <c r="U10" s="8">
        <f>(S10/$S$18)*100</f>
        <v>67.22222222222223</v>
      </c>
      <c r="W10" s="20">
        <v>3.1153</v>
      </c>
      <c r="X10" s="10">
        <v>28.967442651146854</v>
      </c>
      <c r="Y10" s="10">
        <f>(X10/W10)</f>
        <v>9.29844401860073</v>
      </c>
      <c r="AE10" s="10"/>
    </row>
    <row r="11" ht="12.75">
      <c r="AE11" s="10"/>
    </row>
    <row r="12" spans="1:31" ht="12.75">
      <c r="A12" s="1" t="s">
        <v>16</v>
      </c>
      <c r="B12" t="s">
        <v>121</v>
      </c>
      <c r="C12" s="17">
        <v>23</v>
      </c>
      <c r="D12" s="8">
        <v>3.5</v>
      </c>
      <c r="E12" s="16">
        <f>(C12+D12/4)/24</f>
        <v>0.9947916666666666</v>
      </c>
      <c r="F12" s="10">
        <f>P12/O12</f>
        <v>50</v>
      </c>
      <c r="G12" s="10">
        <f>F12*(373.242/349.9144375)</f>
        <v>53.33332380719501</v>
      </c>
      <c r="H12" s="10">
        <f>5760/G12</f>
        <v>108.00001929043356</v>
      </c>
      <c r="I12" s="10">
        <f>349.9144375/F12</f>
        <v>6.99828875</v>
      </c>
      <c r="J12" s="10">
        <f>373.242/G12</f>
        <v>6.99828875</v>
      </c>
      <c r="K12" s="10">
        <f>J12*E12</f>
        <v>6.961839329427083</v>
      </c>
      <c r="L12" s="17">
        <f>(M12*12)+N12</f>
        <v>72</v>
      </c>
      <c r="M12" s="17">
        <v>6</v>
      </c>
      <c r="N12" s="8">
        <v>0</v>
      </c>
      <c r="O12" s="10">
        <f>(M12/20)+(N12/240)</f>
        <v>0.3</v>
      </c>
      <c r="P12" s="10">
        <v>15</v>
      </c>
      <c r="Q12" s="9">
        <f>G12*O12</f>
        <v>15.999997142158502</v>
      </c>
      <c r="R12" s="9">
        <f>G12*O12</f>
        <v>15.999997142158502</v>
      </c>
      <c r="S12" s="10">
        <f>(1000/349.9144/0.9947917)*P12</f>
        <v>43.09206344798705</v>
      </c>
      <c r="T12" s="10">
        <f>240/L12*K12</f>
        <v>23.206131098090278</v>
      </c>
      <c r="U12" s="8">
        <f>(S12/$S$18)*100</f>
        <v>100</v>
      </c>
      <c r="W12" s="20">
        <v>3.4758</v>
      </c>
      <c r="X12" s="10">
        <v>43.09206344798705</v>
      </c>
      <c r="Y12" s="10">
        <f>(X12/W12)</f>
        <v>12.397739642093057</v>
      </c>
      <c r="AE12" s="10"/>
    </row>
    <row r="13" ht="12.75">
      <c r="AE13" s="10"/>
    </row>
    <row r="14" spans="1:31" ht="12.75">
      <c r="A14" s="1" t="s">
        <v>20</v>
      </c>
      <c r="B14" t="s">
        <v>168</v>
      </c>
      <c r="C14" s="17">
        <v>23</v>
      </c>
      <c r="D14" s="8">
        <v>3.5</v>
      </c>
      <c r="E14" s="16">
        <f>(C14+D14/4)/24</f>
        <v>0.9947916666666666</v>
      </c>
      <c r="F14" s="10">
        <f>P14/O14</f>
        <v>39.50000000000001</v>
      </c>
      <c r="G14" s="10">
        <f>F14*(373.242/349.9144375)</f>
        <v>42.133325807684066</v>
      </c>
      <c r="H14" s="10">
        <f>5760/G14</f>
        <v>136.70888517776396</v>
      </c>
      <c r="I14" s="10">
        <f>349.9144375/F14</f>
        <v>8.85859335443038</v>
      </c>
      <c r="J14" s="10">
        <f>373.242/G14</f>
        <v>8.858593354430377</v>
      </c>
      <c r="K14" s="10">
        <f>J14*E14</f>
        <v>8.812454847376053</v>
      </c>
      <c r="L14" s="17">
        <f>(M14*12)+N14</f>
        <v>80</v>
      </c>
      <c r="M14" s="17">
        <v>6</v>
      </c>
      <c r="N14" s="8">
        <v>8</v>
      </c>
      <c r="O14" s="10">
        <f>(M14/20)+(N14/240)</f>
        <v>0.3333333333333333</v>
      </c>
      <c r="P14" s="10">
        <f>13+(3/20)+(4/240)</f>
        <v>13.166666666666668</v>
      </c>
      <c r="Q14" s="9">
        <f>G14*O14</f>
        <v>14.044441935894689</v>
      </c>
      <c r="R14" s="9">
        <f>G14*O14</f>
        <v>14.044441935894689</v>
      </c>
      <c r="S14" s="10">
        <f>(1000/349.9144/0.9947917)*P14</f>
        <v>37.82525569323308</v>
      </c>
      <c r="T14" s="10">
        <f>240/L14*K14</f>
        <v>26.437364542128158</v>
      </c>
      <c r="U14" s="8">
        <f>(S14/$S$18)*100</f>
        <v>87.77777777777779</v>
      </c>
      <c r="W14" s="20">
        <v>3.243</v>
      </c>
      <c r="X14" s="10">
        <v>37.82525569323308</v>
      </c>
      <c r="Y14" s="10">
        <f>(X14/W14)</f>
        <v>11.663661946726204</v>
      </c>
      <c r="AE14" s="10"/>
    </row>
    <row r="15" ht="12.75">
      <c r="AE15" s="10"/>
    </row>
    <row r="16" spans="1:31" ht="12.75">
      <c r="A16" s="1" t="s">
        <v>25</v>
      </c>
      <c r="B16" t="s">
        <v>168</v>
      </c>
      <c r="C16" s="17">
        <v>23</v>
      </c>
      <c r="D16" s="8">
        <v>3.5</v>
      </c>
      <c r="E16" s="16">
        <f>(C16+D16/4)/24</f>
        <v>0.9947916666666666</v>
      </c>
      <c r="F16" s="10">
        <f>P16/O16</f>
        <v>42</v>
      </c>
      <c r="G16" s="10">
        <f>F16*(373.242/349.9144375)</f>
        <v>44.79999199804381</v>
      </c>
      <c r="H16" s="10">
        <f>5760/G16</f>
        <v>128.57145153623043</v>
      </c>
      <c r="I16" s="10">
        <f>349.9144375/F16</f>
        <v>8.331296130952381</v>
      </c>
      <c r="J16" s="10">
        <f>373.242/G16</f>
        <v>8.331296130952381</v>
      </c>
      <c r="K16" s="10">
        <f>J16*E16</f>
        <v>8.287903963603672</v>
      </c>
      <c r="L16" s="17">
        <f>(M16*12)+N16</f>
        <v>80</v>
      </c>
      <c r="M16" s="17">
        <v>6</v>
      </c>
      <c r="N16" s="8">
        <v>8</v>
      </c>
      <c r="O16" s="10">
        <f>(M16/20)+(N16/240)</f>
        <v>0.3333333333333333</v>
      </c>
      <c r="P16" s="10">
        <v>14</v>
      </c>
      <c r="Q16" s="9">
        <f>G16*O16</f>
        <v>14.933330666014601</v>
      </c>
      <c r="R16" s="9">
        <f>G16*O16</f>
        <v>14.933330666014601</v>
      </c>
      <c r="S16" s="10">
        <f>(1000/349.9144/0.9947917)*P16</f>
        <v>40.21925921812125</v>
      </c>
      <c r="T16" s="10">
        <f>240/L16*K16</f>
        <v>24.863711890811015</v>
      </c>
      <c r="U16" s="8">
        <f>(S16/$S$18)*100</f>
        <v>93.33333333333334</v>
      </c>
      <c r="W16" s="20">
        <v>3.4758</v>
      </c>
      <c r="X16" s="10">
        <v>40.21925921812125</v>
      </c>
      <c r="Y16" s="10">
        <f>(X16/W16)</f>
        <v>11.571223665953521</v>
      </c>
      <c r="AE16" s="10"/>
    </row>
    <row r="17" ht="12.75">
      <c r="AE17" s="10"/>
    </row>
    <row r="18" spans="1:31" ht="12.75">
      <c r="A18" s="1" t="s">
        <v>28</v>
      </c>
      <c r="B18" t="s">
        <v>168</v>
      </c>
      <c r="C18" s="17">
        <v>23</v>
      </c>
      <c r="D18" s="8">
        <v>3.5</v>
      </c>
      <c r="E18" s="16">
        <f>(C18+D18/4)/24</f>
        <v>0.9947916666666666</v>
      </c>
      <c r="F18" s="10">
        <f>P18/O18</f>
        <v>45</v>
      </c>
      <c r="G18" s="10">
        <f>F18*(373.242/349.9144375)</f>
        <v>47.99999142647551</v>
      </c>
      <c r="H18" s="10">
        <f>5760/G18</f>
        <v>120.00002143381505</v>
      </c>
      <c r="I18" s="10">
        <f>349.9144375/F18</f>
        <v>7.775876388888889</v>
      </c>
      <c r="J18" s="10">
        <f>373.242/G18</f>
        <v>7.775876388888888</v>
      </c>
      <c r="K18" s="10">
        <f>J18*E18</f>
        <v>7.735377032696759</v>
      </c>
      <c r="L18" s="17">
        <f>(M18*12)+N18</f>
        <v>80</v>
      </c>
      <c r="M18" s="17">
        <v>6</v>
      </c>
      <c r="N18" s="8">
        <v>8</v>
      </c>
      <c r="O18" s="10">
        <f>(M18/20)+(N18/240)</f>
        <v>0.3333333333333333</v>
      </c>
      <c r="P18" s="10">
        <v>15</v>
      </c>
      <c r="Q18" s="9">
        <f>G18*O18</f>
        <v>15.999997142158502</v>
      </c>
      <c r="R18" s="9">
        <f>G18*O18</f>
        <v>15.999997142158502</v>
      </c>
      <c r="S18" s="10">
        <f>(1000/349.9144/0.9947917)*P18</f>
        <v>43.09206344798705</v>
      </c>
      <c r="T18" s="10">
        <f>240/L18*K18</f>
        <v>23.206131098090275</v>
      </c>
      <c r="U18" s="8">
        <f>(S18/$S$18)*100</f>
        <v>100</v>
      </c>
      <c r="W18" s="20">
        <v>3.8619</v>
      </c>
      <c r="X18" s="10">
        <v>43.09206344798705</v>
      </c>
      <c r="Y18" s="10">
        <f>(X18/W18)</f>
        <v>11.158254602135491</v>
      </c>
      <c r="AE18" s="10"/>
    </row>
    <row r="19" ht="12.75">
      <c r="AE19" s="10"/>
    </row>
    <row r="20" spans="1:31" ht="12.75">
      <c r="A20" s="1" t="s">
        <v>33</v>
      </c>
      <c r="B20" t="s">
        <v>168</v>
      </c>
      <c r="C20" s="17">
        <v>23</v>
      </c>
      <c r="D20" s="8">
        <v>3.5</v>
      </c>
      <c r="E20" s="16">
        <f>(C20+D20/4)/24</f>
        <v>0.9947916666666666</v>
      </c>
      <c r="F20" s="10">
        <f>P20/O20</f>
        <v>49.99999999999999</v>
      </c>
      <c r="G20" s="10">
        <f>F20*(373.242/349.9144375)</f>
        <v>53.333323807195</v>
      </c>
      <c r="H20" s="10">
        <f>5760/G20</f>
        <v>108.00001929043357</v>
      </c>
      <c r="I20" s="10">
        <f>349.9144375/F20</f>
        <v>6.998288750000001</v>
      </c>
      <c r="J20" s="10">
        <f>373.242/G20</f>
        <v>6.998288750000001</v>
      </c>
      <c r="K20" s="10">
        <f>J20*E20</f>
        <v>6.961839329427084</v>
      </c>
      <c r="L20" s="17">
        <f>(M20*12)+N20</f>
        <v>80</v>
      </c>
      <c r="M20" s="17">
        <v>6</v>
      </c>
      <c r="N20" s="8">
        <v>8</v>
      </c>
      <c r="O20" s="10">
        <f>(M20/20)+(N20/240)</f>
        <v>0.3333333333333333</v>
      </c>
      <c r="P20" s="10">
        <f>16+(13/20)+(4/240)</f>
        <v>16.666666666666664</v>
      </c>
      <c r="Q20" s="9">
        <f>G20*O20</f>
        <v>17.77777460239833</v>
      </c>
      <c r="R20" s="9">
        <f>G20*O20</f>
        <v>17.77777460239833</v>
      </c>
      <c r="S20" s="10">
        <f>(1000/349.9144/0.9947917)*P20</f>
        <v>47.880070497763384</v>
      </c>
      <c r="T20" s="10">
        <f>240/L20*K20</f>
        <v>20.88551798828125</v>
      </c>
      <c r="U20" s="8">
        <f>(S20/$S$18)*100</f>
        <v>111.1111111111111</v>
      </c>
      <c r="W20" s="20">
        <v>4.6343</v>
      </c>
      <c r="X20" s="10">
        <v>47.880070497763384</v>
      </c>
      <c r="Y20" s="10">
        <f>(X20/W20)</f>
        <v>10.331672636161532</v>
      </c>
      <c r="AE20" s="10"/>
    </row>
    <row r="21" ht="12.75">
      <c r="AE21" s="10"/>
    </row>
    <row r="22" spans="1:31" ht="12.75">
      <c r="A22" s="1" t="s">
        <v>35</v>
      </c>
      <c r="B22" t="s">
        <v>168</v>
      </c>
      <c r="C22" s="17">
        <v>23</v>
      </c>
      <c r="D22" s="8">
        <v>3.5</v>
      </c>
      <c r="E22" s="16">
        <f>(C22+D22/4)/24</f>
        <v>0.9947916666666666</v>
      </c>
      <c r="F22" s="10">
        <f>P22/O22</f>
        <v>50</v>
      </c>
      <c r="G22" s="10">
        <f>F22*(373.242/349.9144375)</f>
        <v>53.33332380719501</v>
      </c>
      <c r="H22" s="10">
        <f>5760/G22</f>
        <v>108.00001929043356</v>
      </c>
      <c r="I22" s="10">
        <f>349.9144375/F22</f>
        <v>6.99828875</v>
      </c>
      <c r="J22" s="10">
        <f>373.242/G22</f>
        <v>6.99828875</v>
      </c>
      <c r="K22" s="10">
        <f>J22*E22</f>
        <v>6.961839329427083</v>
      </c>
      <c r="L22" s="17">
        <f>(M22*12)+N22</f>
        <v>100</v>
      </c>
      <c r="M22" s="17">
        <v>8</v>
      </c>
      <c r="N22" s="8">
        <v>4</v>
      </c>
      <c r="O22" s="10">
        <f>(M22/20)+(N22/240)</f>
        <v>0.4166666666666667</v>
      </c>
      <c r="P22" s="10">
        <f>20+(16/20)+(8/240)</f>
        <v>20.833333333333336</v>
      </c>
      <c r="Q22" s="9">
        <f>G22*O22</f>
        <v>22.22221825299792</v>
      </c>
      <c r="R22" s="9">
        <f>G22*O22</f>
        <v>22.22221825299792</v>
      </c>
      <c r="S22" s="10">
        <f>(1000/349.9144/0.9947917)*P22</f>
        <v>59.85008812220425</v>
      </c>
      <c r="T22" s="10">
        <f>240/L22*K22</f>
        <v>16.708414390625</v>
      </c>
      <c r="U22" s="8">
        <f>(S22/$S$18)*100</f>
        <v>138.8888888888889</v>
      </c>
      <c r="W22" s="20">
        <v>5.7929</v>
      </c>
      <c r="X22" s="10">
        <v>59.85008812220425</v>
      </c>
      <c r="Y22" s="10">
        <f>(X22/W22)</f>
        <v>10.331628048508389</v>
      </c>
      <c r="AE22" s="10"/>
    </row>
    <row r="23" spans="18:31" ht="12.75">
      <c r="R23" s="9"/>
      <c r="AE23" s="10"/>
    </row>
    <row r="24" spans="1:31" ht="12.75">
      <c r="A24" s="1" t="s">
        <v>37</v>
      </c>
      <c r="B24" t="s">
        <v>192</v>
      </c>
      <c r="C24" s="17">
        <v>23</v>
      </c>
      <c r="D24" s="8">
        <v>3.5</v>
      </c>
      <c r="E24" s="16">
        <f>(C24+D24/4)/24</f>
        <v>0.9947916666666666</v>
      </c>
      <c r="F24" s="10">
        <f>P24/O24</f>
        <v>45</v>
      </c>
      <c r="G24" s="10">
        <f>F24*(373.242/349.9144375)</f>
        <v>47.99999142647551</v>
      </c>
      <c r="H24" s="10">
        <f>5760/G24</f>
        <v>120.00002143381505</v>
      </c>
      <c r="I24" s="10">
        <f>349.9144375/F24</f>
        <v>7.775876388888889</v>
      </c>
      <c r="J24" s="10">
        <f>373.242/G24</f>
        <v>7.775876388888888</v>
      </c>
      <c r="K24" s="10">
        <f>J24*E24</f>
        <v>7.735377032696759</v>
      </c>
      <c r="L24" s="17">
        <f>(M24*12)+N24</f>
        <v>120</v>
      </c>
      <c r="M24" s="17">
        <v>10</v>
      </c>
      <c r="N24" s="8">
        <v>0</v>
      </c>
      <c r="O24" s="10">
        <f>(M24/20)+(N24/240)</f>
        <v>0.5</v>
      </c>
      <c r="P24" s="10">
        <v>22.5</v>
      </c>
      <c r="Q24" s="9">
        <f>G24*O24</f>
        <v>23.999995713237755</v>
      </c>
      <c r="R24" s="9">
        <f>G24*O24</f>
        <v>23.999995713237755</v>
      </c>
      <c r="S24" s="10">
        <f>(1000/349.9144/0.9947917)*P24</f>
        <v>64.63809517198058</v>
      </c>
      <c r="T24" s="10">
        <f>240/L24*K24</f>
        <v>15.470754065393518</v>
      </c>
      <c r="U24" s="8">
        <f>(S24/$S$18)*100</f>
        <v>150</v>
      </c>
      <c r="W24" s="20">
        <v>5.7929</v>
      </c>
      <c r="X24" s="10">
        <v>64.63809517198058</v>
      </c>
      <c r="Y24" s="10">
        <f>(X24/W24)</f>
        <v>11.158158292389059</v>
      </c>
      <c r="AE24" s="10"/>
    </row>
    <row r="25" spans="1:31" ht="12.75">
      <c r="A25" s="1" t="s">
        <v>37</v>
      </c>
      <c r="B25" t="s">
        <v>107</v>
      </c>
      <c r="C25" s="17">
        <v>23</v>
      </c>
      <c r="D25" s="8">
        <v>3.5</v>
      </c>
      <c r="E25" s="16">
        <f>(C25+D25/4)/24</f>
        <v>0.9947916666666666</v>
      </c>
      <c r="F25" s="10">
        <f>P25/O25</f>
        <v>67.5</v>
      </c>
      <c r="G25" s="10">
        <f>F25*(373.242/349.9144375)</f>
        <v>71.99998713971327</v>
      </c>
      <c r="H25" s="10">
        <f>5760/G25</f>
        <v>80.00001428921003</v>
      </c>
      <c r="I25" s="10">
        <f>349.9144375/F25</f>
        <v>5.183917592592593</v>
      </c>
      <c r="J25" s="10">
        <f>373.242/G25</f>
        <v>5.183917592592592</v>
      </c>
      <c r="K25" s="10">
        <f>J25*E25</f>
        <v>5.156918021797838</v>
      </c>
      <c r="L25" s="17">
        <f>(M25*12)+N25</f>
        <v>80</v>
      </c>
      <c r="M25" s="17">
        <v>6</v>
      </c>
      <c r="N25" s="8">
        <v>8</v>
      </c>
      <c r="O25" s="10">
        <f>(M25/20)+(N25/240)</f>
        <v>0.3333333333333333</v>
      </c>
      <c r="P25" s="10">
        <v>22.5</v>
      </c>
      <c r="Q25" s="9">
        <f>G25*O25</f>
        <v>23.999995713237755</v>
      </c>
      <c r="R25" s="9">
        <f>G25*O25</f>
        <v>23.999995713237755</v>
      </c>
      <c r="S25" s="10">
        <f>(1000/349.9144/0.9947917)*P25</f>
        <v>64.63809517198058</v>
      </c>
      <c r="T25" s="10">
        <f>240/L25*K25</f>
        <v>15.470754065393514</v>
      </c>
      <c r="U25" s="8">
        <f>(S25/$S$18)*100</f>
        <v>150</v>
      </c>
      <c r="W25" s="20">
        <v>5.7929</v>
      </c>
      <c r="X25" s="10">
        <v>64.63809517198058</v>
      </c>
      <c r="Y25" s="10">
        <f>(X25/W25)</f>
        <v>11.158158292389059</v>
      </c>
      <c r="AE25" s="10"/>
    </row>
    <row r="26" spans="18:31" ht="12.75">
      <c r="R26" s="9"/>
      <c r="AE26" s="10"/>
    </row>
    <row r="27" spans="1:31" ht="12.75">
      <c r="A27" s="1" t="s">
        <v>38</v>
      </c>
      <c r="B27" t="s">
        <v>199</v>
      </c>
      <c r="C27" s="17">
        <v>23</v>
      </c>
      <c r="D27" s="8">
        <v>3.5</v>
      </c>
      <c r="E27" s="16">
        <f>(C27+D27/4)/24</f>
        <v>0.9947916666666666</v>
      </c>
      <c r="F27" s="10">
        <f>P27/O27</f>
        <v>22.5</v>
      </c>
      <c r="G27" s="10">
        <f>F27*(373.242/349.9144)</f>
        <v>23.999998285294918</v>
      </c>
      <c r="H27" s="10">
        <f>5760/G27</f>
        <v>240.00001714705203</v>
      </c>
      <c r="I27" s="10">
        <f>349.9144375/F27</f>
        <v>15.551752777777779</v>
      </c>
      <c r="J27" s="10">
        <f>373.242/G27</f>
        <v>15.55175111111111</v>
      </c>
      <c r="K27" s="10">
        <f>J27*E27</f>
        <v>15.470752407407407</v>
      </c>
      <c r="L27" s="17">
        <f>(M27*12)+N27</f>
        <v>240</v>
      </c>
      <c r="M27" s="17">
        <v>20</v>
      </c>
      <c r="N27" s="8">
        <v>0</v>
      </c>
      <c r="O27" s="10">
        <f>(M27/20)+(N27/240)</f>
        <v>1</v>
      </c>
      <c r="P27" s="10">
        <v>22.5</v>
      </c>
      <c r="Q27" s="9">
        <f>G27*O27</f>
        <v>23.999998285294918</v>
      </c>
      <c r="R27" s="9">
        <f>G27*O27</f>
        <v>23.999998285294918</v>
      </c>
      <c r="S27" s="10">
        <f>(1000/349.9144/0.9947917)*P27</f>
        <v>64.63809517198058</v>
      </c>
      <c r="T27" s="10">
        <f>240/L27*K27</f>
        <v>15.470752407407407</v>
      </c>
      <c r="U27" s="8">
        <f>(S27/$S$18)*100</f>
        <v>150</v>
      </c>
      <c r="W27" s="20">
        <v>5.7929</v>
      </c>
      <c r="X27" s="10">
        <v>64.63809517198058</v>
      </c>
      <c r="Y27" s="10">
        <f>(X27/W27)</f>
        <v>11.158158292389059</v>
      </c>
      <c r="AE27" s="10"/>
    </row>
    <row r="28" spans="18:31" ht="12.75">
      <c r="R28" s="9"/>
      <c r="AE28" s="10"/>
    </row>
    <row r="29" spans="1:31" ht="12.75">
      <c r="A29" s="1" t="s">
        <v>39</v>
      </c>
      <c r="B29" t="s">
        <v>199</v>
      </c>
      <c r="C29" s="17">
        <v>23</v>
      </c>
      <c r="D29" s="8">
        <v>3.5</v>
      </c>
      <c r="E29" s="16">
        <f>(C29+D29/4)/24</f>
        <v>0.9947916666666666</v>
      </c>
      <c r="F29" s="10">
        <f>P29/O29</f>
        <v>22.499998392463986</v>
      </c>
      <c r="G29" s="10">
        <f>F29*(373.242/349.9144)</f>
        <v>23.999996570589957</v>
      </c>
      <c r="H29" s="10">
        <f>5760/G29</f>
        <v>240.00003429410532</v>
      </c>
      <c r="I29" s="10">
        <f>349.9144375/F29</f>
        <v>15.551753888889088</v>
      </c>
      <c r="J29" s="10">
        <f>373.242/G29</f>
        <v>15.551752222222303</v>
      </c>
      <c r="K29" s="10">
        <f>J29*E29</f>
        <v>15.470753512731562</v>
      </c>
      <c r="L29" s="17">
        <f>(M29*12)+N29</f>
        <v>264</v>
      </c>
      <c r="M29">
        <v>22</v>
      </c>
      <c r="N29" s="8">
        <v>0</v>
      </c>
      <c r="O29" s="10">
        <f>(M29/20)+(N29/240)</f>
        <v>1.1</v>
      </c>
      <c r="P29" s="10">
        <f>5400/5760*R29</f>
        <v>24.749998231710386</v>
      </c>
      <c r="Q29" s="9">
        <f>G29*O29</f>
        <v>26.399996227648955</v>
      </c>
      <c r="R29" s="9">
        <f>R27*1.1</f>
        <v>26.399998113824413</v>
      </c>
      <c r="S29" s="10">
        <f>(1000/373.242/E29)*R29</f>
        <v>71.10190707165084</v>
      </c>
      <c r="T29" s="10">
        <f>240/L29*K29</f>
        <v>14.064321375210511</v>
      </c>
      <c r="U29" s="8">
        <f>(S29/$S$18)*100</f>
        <v>165.00000552879584</v>
      </c>
      <c r="W29" s="20">
        <v>6.517</v>
      </c>
      <c r="X29" s="10">
        <v>71.10190707165084</v>
      </c>
      <c r="Y29" s="10">
        <f>(X29/W29)</f>
        <v>10.910220511224619</v>
      </c>
      <c r="AE29" s="10"/>
    </row>
    <row r="30" spans="1:31" ht="12.75">
      <c r="A30" s="1" t="s">
        <v>39</v>
      </c>
      <c r="B30" t="s">
        <v>115</v>
      </c>
      <c r="C30" s="17">
        <v>22</v>
      </c>
      <c r="D30" s="8">
        <v>0</v>
      </c>
      <c r="E30" s="16">
        <f>(C30+D30/4)/24</f>
        <v>0.9166666666666666</v>
      </c>
      <c r="F30" s="10">
        <f>P30/O30</f>
        <v>110</v>
      </c>
      <c r="G30" s="10">
        <f>F30*(373.242/349.9144)</f>
        <v>117.3333249503307</v>
      </c>
      <c r="H30" s="10">
        <f>5760/G30</f>
        <v>49.090912598260644</v>
      </c>
      <c r="I30" s="10">
        <f>349.9144375/F30</f>
        <v>3.181040340909091</v>
      </c>
      <c r="J30" s="10">
        <f>373.242/G30</f>
        <v>3.1810400000000003</v>
      </c>
      <c r="K30" s="10">
        <f>J30*E30</f>
        <v>2.9159533333333334</v>
      </c>
      <c r="L30" s="17">
        <f>(M30*12)+N30</f>
        <v>54</v>
      </c>
      <c r="M30" s="17">
        <v>4</v>
      </c>
      <c r="N30" s="8">
        <v>6</v>
      </c>
      <c r="O30" s="10">
        <f>(M30/20)+(N30/240)</f>
        <v>0.225</v>
      </c>
      <c r="P30" s="10">
        <v>24.75</v>
      </c>
      <c r="Q30" s="9">
        <f>G30*O30</f>
        <v>26.39999811382441</v>
      </c>
      <c r="R30" s="9">
        <v>26.4</v>
      </c>
      <c r="S30" s="10">
        <f>(1000/373.242/E30)*R30</f>
        <v>77.16173420997636</v>
      </c>
      <c r="T30" s="10">
        <f>240/L30*K30</f>
        <v>12.959792592592594</v>
      </c>
      <c r="U30" s="8">
        <f>(S30/$S$18)*100</f>
        <v>179.06251879330878</v>
      </c>
      <c r="W30" s="20">
        <v>6.517</v>
      </c>
      <c r="X30" s="10">
        <v>77.16173420997637</v>
      </c>
      <c r="Y30" s="10">
        <f>(X30/W30)</f>
        <v>11.840069696175597</v>
      </c>
      <c r="AE30" s="10"/>
    </row>
    <row r="31" spans="18:31" ht="12.75">
      <c r="R31" s="9"/>
      <c r="AE31" s="10"/>
    </row>
    <row r="32" spans="1:31" ht="12.75">
      <c r="A32" s="1" t="s">
        <v>40</v>
      </c>
      <c r="B32" t="s">
        <v>199</v>
      </c>
      <c r="C32" s="17">
        <v>23</v>
      </c>
      <c r="D32" s="8">
        <v>3.5</v>
      </c>
      <c r="E32" s="16">
        <f aca="true" t="shared" si="0" ref="E32:E37">(C32+D32/4)/24</f>
        <v>0.9947916666666666</v>
      </c>
      <c r="F32" s="10">
        <f>P32/O32</f>
        <v>22.5</v>
      </c>
      <c r="G32" s="10">
        <f aca="true" t="shared" si="1" ref="G32:G37">F32*(373.242/349.9144)</f>
        <v>23.999998285294918</v>
      </c>
      <c r="H32" s="10">
        <f aca="true" t="shared" si="2" ref="H32:H37">5760/G32</f>
        <v>240.00001714705203</v>
      </c>
      <c r="I32" s="10">
        <f aca="true" t="shared" si="3" ref="I32:I37">349.9144375/F32</f>
        <v>15.551752777777779</v>
      </c>
      <c r="J32" s="10">
        <f aca="true" t="shared" si="4" ref="J32:J37">373.242/G32</f>
        <v>15.55175111111111</v>
      </c>
      <c r="K32" s="10">
        <f aca="true" t="shared" si="5" ref="K32:K37">J32*E32</f>
        <v>15.470752407407407</v>
      </c>
      <c r="L32" s="17">
        <f aca="true" t="shared" si="6" ref="L32:L37">(M32*12)+N32</f>
        <v>270</v>
      </c>
      <c r="M32" s="17">
        <v>22</v>
      </c>
      <c r="N32" s="8">
        <v>6</v>
      </c>
      <c r="O32" s="10">
        <f aca="true" t="shared" si="7" ref="O32:O37">(M32/20)+(N32/240)</f>
        <v>1.125</v>
      </c>
      <c r="P32" s="10">
        <f aca="true" t="shared" si="8" ref="P32:P37">5400/5760*R32</f>
        <v>25.3125</v>
      </c>
      <c r="Q32" s="9">
        <f aca="true" t="shared" si="9" ref="Q32:Q37">G32*O32</f>
        <v>26.99999807095678</v>
      </c>
      <c r="R32" s="9">
        <v>27</v>
      </c>
      <c r="S32" s="10">
        <f aca="true" t="shared" si="10" ref="S32:S37">(1000/373.242/E32)*R32</f>
        <v>72.71786470050128</v>
      </c>
      <c r="T32" s="10">
        <f aca="true" t="shared" si="11" ref="T32:T37">240/L32*K32</f>
        <v>13.751779917695472</v>
      </c>
      <c r="U32" s="8">
        <f aca="true" t="shared" si="12" ref="U32:U37">(S32/$S$18)*100</f>
        <v>168.75001771097163</v>
      </c>
      <c r="W32" s="20">
        <v>6.517</v>
      </c>
      <c r="X32" s="10">
        <v>72.71786470050128</v>
      </c>
      <c r="Y32" s="10">
        <f aca="true" t="shared" si="13" ref="Y32:Y37">(X32/W32)</f>
        <v>11.158180865505797</v>
      </c>
      <c r="AE32" s="10"/>
    </row>
    <row r="33" spans="1:31" ht="12.75">
      <c r="A33" s="1" t="s">
        <v>40</v>
      </c>
      <c r="B33" t="s">
        <v>192</v>
      </c>
      <c r="C33" s="17">
        <v>23</v>
      </c>
      <c r="D33" s="8">
        <v>3.5</v>
      </c>
      <c r="E33" s="16">
        <f t="shared" si="0"/>
        <v>0.9947916666666666</v>
      </c>
      <c r="F33" s="10">
        <f>P33/O33</f>
        <v>45</v>
      </c>
      <c r="G33" s="10">
        <f t="shared" si="1"/>
        <v>47.999996570589836</v>
      </c>
      <c r="H33" s="10">
        <f t="shared" si="2"/>
        <v>120.00000857352602</v>
      </c>
      <c r="I33" s="10">
        <f t="shared" si="3"/>
        <v>7.775876388888889</v>
      </c>
      <c r="J33" s="10">
        <f t="shared" si="4"/>
        <v>7.775875555555555</v>
      </c>
      <c r="K33" s="10">
        <f t="shared" si="5"/>
        <v>7.735376203703703</v>
      </c>
      <c r="L33" s="17">
        <f t="shared" si="6"/>
        <v>135</v>
      </c>
      <c r="M33" s="17">
        <v>11</v>
      </c>
      <c r="N33" s="8">
        <v>3</v>
      </c>
      <c r="O33" s="10">
        <f t="shared" si="7"/>
        <v>0.5625</v>
      </c>
      <c r="P33" s="10">
        <f t="shared" si="8"/>
        <v>25.3125</v>
      </c>
      <c r="Q33" s="9">
        <f t="shared" si="9"/>
        <v>26.99999807095678</v>
      </c>
      <c r="R33" s="9">
        <v>27</v>
      </c>
      <c r="S33" s="10">
        <f t="shared" si="10"/>
        <v>72.71786470050128</v>
      </c>
      <c r="T33" s="10">
        <f t="shared" si="11"/>
        <v>13.751779917695472</v>
      </c>
      <c r="U33" s="8">
        <f t="shared" si="12"/>
        <v>168.75001771097163</v>
      </c>
      <c r="W33" s="20">
        <v>6.517</v>
      </c>
      <c r="X33" s="10">
        <v>72.71786470050128</v>
      </c>
      <c r="Y33" s="10">
        <f t="shared" si="13"/>
        <v>11.158180865505797</v>
      </c>
      <c r="AE33" s="10"/>
    </row>
    <row r="34" spans="1:31" ht="12.75">
      <c r="A34" s="1" t="s">
        <v>40</v>
      </c>
      <c r="B34" t="s">
        <v>107</v>
      </c>
      <c r="C34" s="17">
        <v>23</v>
      </c>
      <c r="D34" s="8">
        <v>3.5</v>
      </c>
      <c r="E34" s="16">
        <f t="shared" si="0"/>
        <v>0.9947916666666666</v>
      </c>
      <c r="F34" s="10">
        <v>67.5</v>
      </c>
      <c r="G34" s="10">
        <f t="shared" si="1"/>
        <v>71.99999485588475</v>
      </c>
      <c r="H34" s="10">
        <f t="shared" si="2"/>
        <v>80.00000571568403</v>
      </c>
      <c r="I34" s="10">
        <f t="shared" si="3"/>
        <v>5.183917592592593</v>
      </c>
      <c r="J34" s="10">
        <f t="shared" si="4"/>
        <v>5.1839170370370375</v>
      </c>
      <c r="K34" s="10">
        <f t="shared" si="5"/>
        <v>5.156917469135803</v>
      </c>
      <c r="L34" s="17">
        <f t="shared" si="6"/>
        <v>90</v>
      </c>
      <c r="M34" s="17">
        <v>7</v>
      </c>
      <c r="N34" s="8">
        <v>6</v>
      </c>
      <c r="O34" s="10">
        <f t="shared" si="7"/>
        <v>0.375</v>
      </c>
      <c r="P34" s="10">
        <f t="shared" si="8"/>
        <v>25.3125</v>
      </c>
      <c r="Q34" s="9">
        <f t="shared" si="9"/>
        <v>26.99999807095678</v>
      </c>
      <c r="R34" s="9">
        <v>27</v>
      </c>
      <c r="S34" s="10">
        <f t="shared" si="10"/>
        <v>72.71786470050128</v>
      </c>
      <c r="T34" s="10">
        <f t="shared" si="11"/>
        <v>13.751779917695474</v>
      </c>
      <c r="U34" s="8">
        <f t="shared" si="12"/>
        <v>168.75001771097163</v>
      </c>
      <c r="W34" s="20">
        <v>6.517</v>
      </c>
      <c r="X34" s="10">
        <v>72.71786470050128</v>
      </c>
      <c r="Y34" s="10">
        <f t="shared" si="13"/>
        <v>11.158180865505797</v>
      </c>
      <c r="AE34" s="10"/>
    </row>
    <row r="35" spans="1:31" ht="12.75">
      <c r="A35" s="1" t="s">
        <v>40</v>
      </c>
      <c r="B35" t="s">
        <v>202</v>
      </c>
      <c r="C35" s="17">
        <v>23</v>
      </c>
      <c r="D35" s="8">
        <v>3.5</v>
      </c>
      <c r="E35" s="16">
        <f t="shared" si="0"/>
        <v>0.9947916666666666</v>
      </c>
      <c r="F35" s="10">
        <v>75.9375054</v>
      </c>
      <c r="G35" s="10">
        <f t="shared" si="1"/>
        <v>80.99999997286994</v>
      </c>
      <c r="H35" s="10">
        <f t="shared" si="2"/>
        <v>71.11111113492899</v>
      </c>
      <c r="I35" s="10">
        <f t="shared" si="3"/>
        <v>4.607926421296425</v>
      </c>
      <c r="J35" s="10">
        <f t="shared" si="4"/>
        <v>4.6079259274693</v>
      </c>
      <c r="K35" s="10">
        <f t="shared" si="5"/>
        <v>4.5839263132637305</v>
      </c>
      <c r="L35" s="17">
        <f t="shared" si="6"/>
        <v>80</v>
      </c>
      <c r="M35" s="17">
        <v>6</v>
      </c>
      <c r="N35" s="8">
        <v>8</v>
      </c>
      <c r="O35" s="10">
        <f t="shared" si="7"/>
        <v>0.3333333333333333</v>
      </c>
      <c r="P35" s="10">
        <f t="shared" si="8"/>
        <v>25.3125</v>
      </c>
      <c r="Q35" s="9">
        <f t="shared" si="9"/>
        <v>26.999999990956645</v>
      </c>
      <c r="R35" s="9">
        <v>27</v>
      </c>
      <c r="S35" s="10">
        <f t="shared" si="10"/>
        <v>72.71786470050128</v>
      </c>
      <c r="T35" s="10">
        <f t="shared" si="11"/>
        <v>13.75177893979119</v>
      </c>
      <c r="U35" s="8">
        <f t="shared" si="12"/>
        <v>168.75001771097163</v>
      </c>
      <c r="W35" s="20">
        <v>6.517</v>
      </c>
      <c r="X35" s="10">
        <v>72.71786470050128</v>
      </c>
      <c r="Y35" s="10">
        <f t="shared" si="13"/>
        <v>11.158180865505797</v>
      </c>
      <c r="AE35" s="10"/>
    </row>
    <row r="36" spans="1:31" ht="12.75">
      <c r="A36" s="1" t="s">
        <v>40</v>
      </c>
      <c r="B36" t="s">
        <v>115</v>
      </c>
      <c r="C36" s="17">
        <v>22</v>
      </c>
      <c r="D36" s="8">
        <v>0</v>
      </c>
      <c r="E36" s="16">
        <f t="shared" si="0"/>
        <v>0.9166666666666666</v>
      </c>
      <c r="F36" s="10">
        <v>101.25</v>
      </c>
      <c r="G36" s="10">
        <f t="shared" si="1"/>
        <v>107.99999228382713</v>
      </c>
      <c r="H36" s="10">
        <f t="shared" si="2"/>
        <v>53.33333714378934</v>
      </c>
      <c r="I36" s="10">
        <f t="shared" si="3"/>
        <v>3.455945061728395</v>
      </c>
      <c r="J36" s="10">
        <f t="shared" si="4"/>
        <v>3.455944691358025</v>
      </c>
      <c r="K36" s="10">
        <f t="shared" si="5"/>
        <v>3.167949300411523</v>
      </c>
      <c r="L36" s="17">
        <f t="shared" si="6"/>
        <v>60</v>
      </c>
      <c r="M36" s="17">
        <v>5</v>
      </c>
      <c r="N36" s="8">
        <v>0</v>
      </c>
      <c r="O36" s="10">
        <f t="shared" si="7"/>
        <v>0.25</v>
      </c>
      <c r="P36" s="10">
        <f t="shared" si="8"/>
        <v>23.5546875</v>
      </c>
      <c r="Q36" s="9">
        <f t="shared" si="9"/>
        <v>26.99999807095678</v>
      </c>
      <c r="R36" s="9">
        <f>25+(2/20)+(6/240)</f>
        <v>25.125</v>
      </c>
      <c r="S36" s="10">
        <f t="shared" si="10"/>
        <v>73.43517318279001</v>
      </c>
      <c r="T36" s="10">
        <f t="shared" si="11"/>
        <v>12.671797201646092</v>
      </c>
      <c r="U36" s="8">
        <f t="shared" si="12"/>
        <v>170.41461305613197</v>
      </c>
      <c r="W36" s="20">
        <v>6.517</v>
      </c>
      <c r="X36" s="10">
        <v>73.43517318279001</v>
      </c>
      <c r="Y36" s="10">
        <f t="shared" si="13"/>
        <v>11.268248148348935</v>
      </c>
      <c r="AE36" s="10"/>
    </row>
    <row r="37" spans="1:31" ht="12.75">
      <c r="A37" s="1" t="s">
        <v>40</v>
      </c>
      <c r="B37" t="s">
        <v>138</v>
      </c>
      <c r="C37" s="17">
        <v>22</v>
      </c>
      <c r="D37" s="8">
        <v>0</v>
      </c>
      <c r="E37" s="16">
        <f t="shared" si="0"/>
        <v>0.9166666666666666</v>
      </c>
      <c r="F37" s="10">
        <f>F36*2</f>
        <v>202.5</v>
      </c>
      <c r="G37" s="10">
        <f t="shared" si="1"/>
        <v>215.99998456765425</v>
      </c>
      <c r="H37" s="10">
        <f t="shared" si="2"/>
        <v>26.66666857189467</v>
      </c>
      <c r="I37" s="10">
        <f t="shared" si="3"/>
        <v>1.7279725308641976</v>
      </c>
      <c r="J37" s="10">
        <f t="shared" si="4"/>
        <v>1.7279723456790126</v>
      </c>
      <c r="K37" s="10">
        <f t="shared" si="5"/>
        <v>1.5839746502057614</v>
      </c>
      <c r="L37" s="17">
        <f t="shared" si="6"/>
        <v>30</v>
      </c>
      <c r="M37" s="17">
        <v>2</v>
      </c>
      <c r="N37" s="8">
        <v>6</v>
      </c>
      <c r="O37" s="10">
        <f t="shared" si="7"/>
        <v>0.125</v>
      </c>
      <c r="P37" s="10">
        <f t="shared" si="8"/>
        <v>23.5546875</v>
      </c>
      <c r="Q37" s="9">
        <f t="shared" si="9"/>
        <v>26.99999807095678</v>
      </c>
      <c r="R37" s="9">
        <f>25+(2/20)+(6/240)</f>
        <v>25.125</v>
      </c>
      <c r="S37" s="10">
        <f t="shared" si="10"/>
        <v>73.43517318279001</v>
      </c>
      <c r="T37" s="10">
        <f t="shared" si="11"/>
        <v>12.671797201646092</v>
      </c>
      <c r="U37" s="8">
        <f t="shared" si="12"/>
        <v>170.41461305613197</v>
      </c>
      <c r="W37" s="20">
        <v>6.517</v>
      </c>
      <c r="X37" s="10">
        <v>73.43517318279001</v>
      </c>
      <c r="Y37" s="10">
        <f t="shared" si="13"/>
        <v>11.268248148348935</v>
      </c>
      <c r="AE37" s="10"/>
    </row>
    <row r="38" spans="18:31" ht="12.75">
      <c r="R38" s="9"/>
      <c r="AE38" s="10"/>
    </row>
    <row r="39" spans="1:31" ht="12.75">
      <c r="A39" s="1" t="s">
        <v>45</v>
      </c>
      <c r="B39" t="s">
        <v>199</v>
      </c>
      <c r="C39" s="17">
        <v>23</v>
      </c>
      <c r="D39" s="8">
        <v>0</v>
      </c>
      <c r="E39" s="16">
        <f>(C39+D39/4)/24</f>
        <v>0.9583333333333334</v>
      </c>
      <c r="G39" s="10">
        <v>28.8</v>
      </c>
      <c r="H39" s="10">
        <f>5760/G39</f>
        <v>200</v>
      </c>
      <c r="J39" s="10">
        <f>373.242/G39</f>
        <v>12.959791666666668</v>
      </c>
      <c r="K39" s="10">
        <f>J39*E39</f>
        <v>12.419800347222223</v>
      </c>
      <c r="L39" s="17">
        <f>(M39*12)+N39</f>
        <v>240</v>
      </c>
      <c r="M39" s="17">
        <v>20</v>
      </c>
      <c r="N39" s="8">
        <v>0</v>
      </c>
      <c r="O39" s="10">
        <f>(M39/20)+(N39/240)</f>
        <v>1</v>
      </c>
      <c r="Q39" s="10">
        <f>G39*O39</f>
        <v>28.8</v>
      </c>
      <c r="R39" s="9">
        <f>28+(16/20)</f>
        <v>28.8</v>
      </c>
      <c r="S39" s="10">
        <f>(1000/373.242/E39)*R39</f>
        <v>80.51659221910577</v>
      </c>
      <c r="T39" s="10">
        <f>240/L39*K39</f>
        <v>12.419800347222223</v>
      </c>
      <c r="U39" s="8">
        <f>(S39/$S$18)*100</f>
        <v>186.8478456973657</v>
      </c>
      <c r="W39" s="20">
        <v>8.4793</v>
      </c>
      <c r="X39" s="10">
        <v>80.51659221910577</v>
      </c>
      <c r="Y39" s="10">
        <f>(X39/W39)</f>
        <v>9.495664998184493</v>
      </c>
      <c r="AE39" s="10"/>
    </row>
    <row r="40" spans="1:31" ht="12.75">
      <c r="A40" s="1" t="s">
        <v>45</v>
      </c>
      <c r="B40" t="s">
        <v>192</v>
      </c>
      <c r="C40" s="17">
        <v>23</v>
      </c>
      <c r="D40" s="8">
        <v>0</v>
      </c>
      <c r="E40" s="16">
        <f>(C40+D40/4)/24</f>
        <v>0.9583333333333334</v>
      </c>
      <c r="G40" s="10">
        <v>57.6</v>
      </c>
      <c r="H40" s="10">
        <f>5760/G40</f>
        <v>100</v>
      </c>
      <c r="J40" s="10">
        <f>373.242/G40</f>
        <v>6.479895833333334</v>
      </c>
      <c r="K40" s="10">
        <f>J40*E40</f>
        <v>6.2099001736111115</v>
      </c>
      <c r="L40" s="17">
        <f>(M40*12)+N40</f>
        <v>120</v>
      </c>
      <c r="M40" s="17">
        <v>10</v>
      </c>
      <c r="N40" s="8">
        <v>0</v>
      </c>
      <c r="O40" s="10">
        <f>(M40/20)+(N40/240)</f>
        <v>0.5</v>
      </c>
      <c r="Q40" s="10">
        <f>G40*O40</f>
        <v>28.8</v>
      </c>
      <c r="R40" s="9">
        <f>28+(16/20)</f>
        <v>28.8</v>
      </c>
      <c r="S40" s="10">
        <f>(1000/373.242/E40)*R40</f>
        <v>80.51659221910577</v>
      </c>
      <c r="T40" s="10">
        <f>240/L40*K40</f>
        <v>12.419800347222223</v>
      </c>
      <c r="U40" s="8">
        <f>(S40/$S$18)*100</f>
        <v>186.8478456973657</v>
      </c>
      <c r="W40" s="20">
        <v>8.4793</v>
      </c>
      <c r="X40" s="10">
        <v>80.51659221910577</v>
      </c>
      <c r="Y40" s="10">
        <f>(X40/W40)</f>
        <v>9.495664998184493</v>
      </c>
      <c r="AE40" s="10"/>
    </row>
    <row r="41" spans="1:31" ht="12.75">
      <c r="A41" s="1" t="s">
        <v>45</v>
      </c>
      <c r="B41" t="s">
        <v>107</v>
      </c>
      <c r="C41" s="17">
        <v>23</v>
      </c>
      <c r="D41" s="8">
        <v>0</v>
      </c>
      <c r="E41" s="16">
        <f>(C41+D41/4)/24</f>
        <v>0.9583333333333334</v>
      </c>
      <c r="G41" s="10">
        <v>72</v>
      </c>
      <c r="H41" s="10">
        <f>5760/G41</f>
        <v>80</v>
      </c>
      <c r="J41" s="10">
        <f>373.242/G41</f>
        <v>5.183916666666667</v>
      </c>
      <c r="K41" s="10">
        <f>J41*E41</f>
        <v>4.967920138888889</v>
      </c>
      <c r="L41" s="17">
        <f>(M41*12)+N41</f>
        <v>96</v>
      </c>
      <c r="M41" s="17">
        <v>8</v>
      </c>
      <c r="N41" s="8">
        <v>0</v>
      </c>
      <c r="O41" s="10">
        <f>(M41/20)+(N41/240)</f>
        <v>0.4</v>
      </c>
      <c r="Q41" s="10">
        <f>G41*O41</f>
        <v>28.8</v>
      </c>
      <c r="R41" s="9">
        <f>28+(16/20)</f>
        <v>28.8</v>
      </c>
      <c r="S41" s="10">
        <f>(1000/373.242/E41)*R41</f>
        <v>80.51659221910577</v>
      </c>
      <c r="T41" s="10">
        <f>240/L41*K41</f>
        <v>12.419800347222223</v>
      </c>
      <c r="U41" s="8">
        <f>(S41/$S$18)*100</f>
        <v>186.8478456973657</v>
      </c>
      <c r="W41" s="20">
        <v>8.4793</v>
      </c>
      <c r="X41" s="10">
        <v>80.51659221910577</v>
      </c>
      <c r="Y41" s="10">
        <f>(X41/W41)</f>
        <v>9.495664998184493</v>
      </c>
      <c r="AE41" s="10"/>
    </row>
    <row r="42" spans="18:31" ht="12.75">
      <c r="R42" s="9"/>
      <c r="AE42" s="10"/>
    </row>
    <row r="43" spans="1:31" ht="12.75">
      <c r="A43" s="1" t="s">
        <v>48</v>
      </c>
      <c r="B43" t="s">
        <v>199</v>
      </c>
      <c r="C43" s="17">
        <v>22</v>
      </c>
      <c r="D43" s="8">
        <v>0</v>
      </c>
      <c r="E43" s="16">
        <f>(C43+D43/4)/24</f>
        <v>0.9166666666666666</v>
      </c>
      <c r="G43" s="10">
        <v>30</v>
      </c>
      <c r="H43" s="10">
        <f>5760/G43</f>
        <v>192</v>
      </c>
      <c r="J43" s="10">
        <f>373.242/G43</f>
        <v>12.4414</v>
      </c>
      <c r="K43" s="10">
        <f>J43*E43</f>
        <v>11.404616666666666</v>
      </c>
      <c r="L43" s="17">
        <f>(M43*12)+N43</f>
        <v>240</v>
      </c>
      <c r="M43" s="17">
        <v>20</v>
      </c>
      <c r="N43" s="8">
        <v>0</v>
      </c>
      <c r="O43" s="10">
        <f>(M43/20)+(N43/240)</f>
        <v>1</v>
      </c>
      <c r="Q43" s="10">
        <f>G43*O43</f>
        <v>30</v>
      </c>
      <c r="R43" s="9">
        <v>30</v>
      </c>
      <c r="S43" s="10">
        <f>(1000/373.242/E43)*R43</f>
        <v>87.68378887497315</v>
      </c>
      <c r="T43" s="10">
        <f>240/L43*K43</f>
        <v>11.404616666666666</v>
      </c>
      <c r="U43" s="8">
        <f>(S43/$S$18)*100</f>
        <v>203.4801349923964</v>
      </c>
      <c r="W43" s="20">
        <v>12.8603</v>
      </c>
      <c r="X43" s="10">
        <v>87.68378887497315</v>
      </c>
      <c r="Y43" s="10">
        <f>(X43/W43)</f>
        <v>6.818176004834502</v>
      </c>
      <c r="AE43" s="10"/>
    </row>
    <row r="44" spans="1:31" ht="12.75">
      <c r="A44" s="1" t="s">
        <v>48</v>
      </c>
      <c r="B44" t="s">
        <v>192</v>
      </c>
      <c r="C44" s="17">
        <v>22</v>
      </c>
      <c r="D44" s="8">
        <v>0</v>
      </c>
      <c r="E44" s="16">
        <f>(C44+D44/4)/24</f>
        <v>0.9166666666666666</v>
      </c>
      <c r="G44" s="10">
        <v>60</v>
      </c>
      <c r="H44" s="10">
        <f>5760/G44</f>
        <v>96</v>
      </c>
      <c r="J44" s="10">
        <f>373.242/G44</f>
        <v>6.2207</v>
      </c>
      <c r="K44" s="10">
        <f>J44*E44</f>
        <v>5.702308333333333</v>
      </c>
      <c r="L44" s="17">
        <f>(M44*12)+N44</f>
        <v>120</v>
      </c>
      <c r="M44" s="17">
        <v>10</v>
      </c>
      <c r="N44" s="8">
        <v>0</v>
      </c>
      <c r="O44" s="10">
        <f>(M44/20)+(N44/240)</f>
        <v>0.5</v>
      </c>
      <c r="Q44" s="10">
        <f>G44*O44</f>
        <v>30</v>
      </c>
      <c r="R44" s="9">
        <v>30</v>
      </c>
      <c r="S44" s="10">
        <f>(1000/373.242/E44)*R44</f>
        <v>87.68378887497315</v>
      </c>
      <c r="T44" s="10">
        <f>240/L44*K44</f>
        <v>11.404616666666666</v>
      </c>
      <c r="U44" s="8">
        <f>(S44/$S$18)*100</f>
        <v>203.4801349923964</v>
      </c>
      <c r="W44" s="20">
        <v>12.8603</v>
      </c>
      <c r="X44" s="10">
        <v>87.68378887497315</v>
      </c>
      <c r="Y44" s="10">
        <f>(X44/W44)</f>
        <v>6.818176004834502</v>
      </c>
      <c r="AE44" s="10"/>
    </row>
    <row r="45" spans="1:31" ht="12.75">
      <c r="A45" s="1" t="s">
        <v>48</v>
      </c>
      <c r="B45" t="s">
        <v>107</v>
      </c>
      <c r="C45" s="17">
        <v>22</v>
      </c>
      <c r="D45" s="8">
        <v>0</v>
      </c>
      <c r="E45" s="16">
        <f>(C45+D45/4)/24</f>
        <v>0.9166666666666666</v>
      </c>
      <c r="G45" s="10">
        <v>75</v>
      </c>
      <c r="H45" s="10">
        <f>5760/G45</f>
        <v>76.8</v>
      </c>
      <c r="J45" s="10">
        <f>373.242/G45</f>
        <v>4.97656</v>
      </c>
      <c r="K45" s="10">
        <f>J45*E45</f>
        <v>4.561846666666667</v>
      </c>
      <c r="L45" s="17">
        <f>(M45*12)+N45</f>
        <v>96</v>
      </c>
      <c r="M45" s="17">
        <v>8</v>
      </c>
      <c r="N45" s="8">
        <v>0</v>
      </c>
      <c r="O45" s="10">
        <f>(M45/20)+(N45/240)</f>
        <v>0.4</v>
      </c>
      <c r="Q45" s="10">
        <f>G45*O45</f>
        <v>30</v>
      </c>
      <c r="R45" s="9">
        <v>30</v>
      </c>
      <c r="S45" s="10">
        <f>(1000/373.242/E45)*R45</f>
        <v>87.68378887497315</v>
      </c>
      <c r="T45" s="10">
        <f>240/L45*K45</f>
        <v>11.404616666666668</v>
      </c>
      <c r="U45" s="8">
        <f>(S45/$S$18)*100</f>
        <v>203.4801349923964</v>
      </c>
      <c r="W45" s="20">
        <v>12.8603</v>
      </c>
      <c r="X45" s="10">
        <v>87.68378887497315</v>
      </c>
      <c r="Y45" s="10">
        <f>(X45/W45)</f>
        <v>6.818176004834502</v>
      </c>
      <c r="AE45" s="10"/>
    </row>
    <row r="46" spans="18:31" ht="12.75">
      <c r="R46" s="9"/>
      <c r="AE46" s="10"/>
    </row>
    <row r="47" spans="1:31" ht="12.75">
      <c r="A47" s="1" t="s">
        <v>50</v>
      </c>
      <c r="B47" t="s">
        <v>199</v>
      </c>
      <c r="C47" s="17">
        <v>20</v>
      </c>
      <c r="D47" s="8">
        <v>0</v>
      </c>
      <c r="E47" s="16">
        <f>(C47+D47/4)/24</f>
        <v>0.8333333333333334</v>
      </c>
      <c r="G47" s="10">
        <v>30</v>
      </c>
      <c r="H47" s="10">
        <f>5760/G47</f>
        <v>192</v>
      </c>
      <c r="J47" s="10">
        <f>373.242/G47</f>
        <v>12.4414</v>
      </c>
      <c r="K47" s="10">
        <f>J47*E47</f>
        <v>10.367833333333333</v>
      </c>
      <c r="L47" s="17">
        <f>(M47*12)+N47</f>
        <v>240</v>
      </c>
      <c r="M47" s="17">
        <v>20</v>
      </c>
      <c r="N47" s="8">
        <v>0</v>
      </c>
      <c r="O47" s="10">
        <f>(M47/20)+(N47/240)</f>
        <v>1</v>
      </c>
      <c r="Q47" s="10">
        <f>G47*O47</f>
        <v>30</v>
      </c>
      <c r="R47" s="9">
        <v>30</v>
      </c>
      <c r="S47" s="10">
        <f>(1000/373.242/E47)*R47</f>
        <v>96.45216776247045</v>
      </c>
      <c r="T47" s="10">
        <f>240/L47*K47</f>
        <v>10.367833333333333</v>
      </c>
      <c r="U47" s="8">
        <f>(S47/$S$18)*100</f>
        <v>223.82814849163597</v>
      </c>
      <c r="W47" s="20">
        <v>19.2904</v>
      </c>
      <c r="X47" s="10">
        <v>96.45216776247045</v>
      </c>
      <c r="Y47" s="10">
        <f>(X47/W47)</f>
        <v>5.0000086966817925</v>
      </c>
      <c r="AE47" s="10"/>
    </row>
    <row r="48" spans="1:31" ht="12.75">
      <c r="A48" s="1" t="s">
        <v>50</v>
      </c>
      <c r="B48" t="s">
        <v>192</v>
      </c>
      <c r="C48" s="17">
        <v>20</v>
      </c>
      <c r="D48" s="8">
        <v>0</v>
      </c>
      <c r="E48" s="16">
        <f>(C48+D48/4)/24</f>
        <v>0.8333333333333334</v>
      </c>
      <c r="G48" s="10">
        <v>60</v>
      </c>
      <c r="H48" s="10">
        <f>5760/G48</f>
        <v>96</v>
      </c>
      <c r="J48" s="10">
        <f>373.242/G48</f>
        <v>6.2207</v>
      </c>
      <c r="K48" s="10">
        <f>J48*E48</f>
        <v>5.183916666666667</v>
      </c>
      <c r="L48" s="17">
        <f>(M48*12)+N48</f>
        <v>120</v>
      </c>
      <c r="M48" s="17">
        <v>10</v>
      </c>
      <c r="N48" s="8">
        <v>0</v>
      </c>
      <c r="O48" s="10">
        <f>(M48/20)+(N48/240)</f>
        <v>0.5</v>
      </c>
      <c r="Q48" s="10">
        <f>G48*O48</f>
        <v>30</v>
      </c>
      <c r="R48" s="9">
        <v>30</v>
      </c>
      <c r="S48" s="10">
        <f>(1000/373.242/E48)*R48</f>
        <v>96.45216776247045</v>
      </c>
      <c r="T48" s="10">
        <f>240/L48*K48</f>
        <v>10.367833333333333</v>
      </c>
      <c r="U48" s="8">
        <f>(S48/$S$18)*100</f>
        <v>223.82814849163597</v>
      </c>
      <c r="W48" s="20">
        <v>19.2904</v>
      </c>
      <c r="X48" s="10">
        <v>96.45216776247045</v>
      </c>
      <c r="Y48" s="10">
        <f>(X48/W48)</f>
        <v>5.0000086966817925</v>
      </c>
      <c r="AE48" s="10"/>
    </row>
    <row r="49" spans="1:31" ht="12.75">
      <c r="A49" s="1" t="s">
        <v>50</v>
      </c>
      <c r="B49" t="s">
        <v>107</v>
      </c>
      <c r="C49" s="17">
        <v>20</v>
      </c>
      <c r="D49" s="8">
        <v>0</v>
      </c>
      <c r="E49" s="16">
        <f>(C49+D49/4)/24</f>
        <v>0.8333333333333334</v>
      </c>
      <c r="G49" s="10">
        <v>75</v>
      </c>
      <c r="H49" s="10">
        <f>5760/G49</f>
        <v>76.8</v>
      </c>
      <c r="J49" s="10">
        <f>373.242/G49</f>
        <v>4.97656</v>
      </c>
      <c r="K49" s="10">
        <f>J49*E49</f>
        <v>4.147133333333334</v>
      </c>
      <c r="L49" s="17">
        <f>(M49*12)+N49</f>
        <v>96</v>
      </c>
      <c r="M49" s="17">
        <v>8</v>
      </c>
      <c r="N49" s="8">
        <v>0</v>
      </c>
      <c r="O49" s="10">
        <f>(M49/20)+(N49/240)</f>
        <v>0.4</v>
      </c>
      <c r="Q49" s="10">
        <f>G49*O49</f>
        <v>30</v>
      </c>
      <c r="R49" s="9">
        <v>30</v>
      </c>
      <c r="S49" s="10">
        <f>(1000/373.242/E49)*R49</f>
        <v>96.45216776247045</v>
      </c>
      <c r="T49" s="10">
        <f>240/L49*K49</f>
        <v>10.367833333333333</v>
      </c>
      <c r="U49" s="8">
        <f>(S49/$S$18)*100</f>
        <v>223.82814849163597</v>
      </c>
      <c r="W49" s="20">
        <v>19.2904</v>
      </c>
      <c r="X49" s="10">
        <v>96.45216776247045</v>
      </c>
      <c r="Y49" s="10">
        <f>(X49/W49)</f>
        <v>5.0000086966817925</v>
      </c>
      <c r="AE49" s="10"/>
    </row>
    <row r="50" spans="1:31" ht="12.75">
      <c r="A50" s="1" t="s">
        <v>50</v>
      </c>
      <c r="B50" t="s">
        <v>115</v>
      </c>
      <c r="C50" s="17">
        <v>20</v>
      </c>
      <c r="D50" s="8">
        <v>0</v>
      </c>
      <c r="E50" s="16">
        <f>(C50+D50/4)/24</f>
        <v>0.8333333333333334</v>
      </c>
      <c r="G50" s="10">
        <v>120</v>
      </c>
      <c r="H50" s="10">
        <f>5760/G50</f>
        <v>48</v>
      </c>
      <c r="J50" s="10">
        <f>373.242/G50</f>
        <v>3.11035</v>
      </c>
      <c r="K50" s="10">
        <f>J50*E50</f>
        <v>2.5919583333333334</v>
      </c>
      <c r="L50" s="17">
        <f>(M50*12)+N50</f>
        <v>60</v>
      </c>
      <c r="M50" s="17">
        <v>5</v>
      </c>
      <c r="N50" s="8">
        <v>0</v>
      </c>
      <c r="O50" s="10">
        <f>(M50/20)+(N50/240)</f>
        <v>0.25</v>
      </c>
      <c r="Q50" s="10">
        <f>G50*O50</f>
        <v>30</v>
      </c>
      <c r="R50" s="9">
        <v>30</v>
      </c>
      <c r="S50" s="10">
        <f>(1000/373.242/E50)*R50</f>
        <v>96.45216776247045</v>
      </c>
      <c r="T50" s="10">
        <f>240/L50*K50</f>
        <v>10.367833333333333</v>
      </c>
      <c r="U50" s="8">
        <f>(S50/$S$18)*100</f>
        <v>223.82814849163597</v>
      </c>
      <c r="W50" s="20">
        <v>19.2904</v>
      </c>
      <c r="X50" s="10">
        <v>96.45216776247045</v>
      </c>
      <c r="Y50" s="10">
        <f>(X50/W50)</f>
        <v>5.0000086966817925</v>
      </c>
      <c r="AE50" s="10"/>
    </row>
    <row r="51" spans="1:31" ht="12.75">
      <c r="A51" s="1" t="s">
        <v>50</v>
      </c>
      <c r="B51" t="s">
        <v>138</v>
      </c>
      <c r="C51" s="17">
        <v>20</v>
      </c>
      <c r="D51" s="8">
        <v>0</v>
      </c>
      <c r="E51" s="16">
        <f>(C51+D51/4)/24</f>
        <v>0.8333333333333334</v>
      </c>
      <c r="G51" s="10">
        <v>240</v>
      </c>
      <c r="H51" s="10">
        <f>5760/G51</f>
        <v>24</v>
      </c>
      <c r="J51" s="10">
        <f>373.242/G51</f>
        <v>1.555175</v>
      </c>
      <c r="K51" s="10">
        <f>J51*E51</f>
        <v>1.2959791666666667</v>
      </c>
      <c r="L51" s="17">
        <f>(M51*12)+N51</f>
        <v>30</v>
      </c>
      <c r="M51" s="17">
        <v>2</v>
      </c>
      <c r="N51" s="8">
        <v>6</v>
      </c>
      <c r="O51" s="10">
        <f>(M51/20)+(N51/240)</f>
        <v>0.125</v>
      </c>
      <c r="Q51" s="10">
        <f>G51*O51</f>
        <v>30</v>
      </c>
      <c r="R51" s="9">
        <v>30</v>
      </c>
      <c r="S51" s="10">
        <f>(1000/373.242/E51)*R51</f>
        <v>96.45216776247045</v>
      </c>
      <c r="T51" s="10">
        <f>240/L51*K51</f>
        <v>10.367833333333333</v>
      </c>
      <c r="U51" s="8">
        <f>(S51/$S$18)*100</f>
        <v>223.82814849163597</v>
      </c>
      <c r="W51" s="20">
        <v>19.2904</v>
      </c>
      <c r="X51" s="10">
        <v>96.45216776247045</v>
      </c>
      <c r="Y51" s="10">
        <f>(X51/W51)</f>
        <v>5.0000086966817925</v>
      </c>
      <c r="AE51" s="10"/>
    </row>
    <row r="52" spans="18:31" ht="12.75">
      <c r="R52" s="9"/>
      <c r="AE52" s="10"/>
    </row>
    <row r="53" spans="1:31" ht="12.75">
      <c r="A53" s="1" t="s">
        <v>52</v>
      </c>
      <c r="B53" t="s">
        <v>199</v>
      </c>
      <c r="C53" s="17">
        <v>22</v>
      </c>
      <c r="D53" s="8">
        <v>0</v>
      </c>
      <c r="E53" s="16">
        <f>(C53+D53/4)/24</f>
        <v>0.9166666666666666</v>
      </c>
      <c r="G53" s="10">
        <v>34</v>
      </c>
      <c r="H53" s="10">
        <f>5760/G53</f>
        <v>169.41176470588235</v>
      </c>
      <c r="J53" s="10">
        <f>373.242/G53</f>
        <v>10.977705882352941</v>
      </c>
      <c r="K53" s="10">
        <f>J53*E53</f>
        <v>10.062897058823529</v>
      </c>
      <c r="L53" s="17">
        <f>(M53*12)+N53</f>
        <v>240</v>
      </c>
      <c r="M53" s="17">
        <v>20</v>
      </c>
      <c r="N53" s="8">
        <v>0</v>
      </c>
      <c r="O53" s="10">
        <f>(M53/20)+(N53/240)</f>
        <v>1</v>
      </c>
      <c r="Q53" s="10">
        <f>G53*O53</f>
        <v>34</v>
      </c>
      <c r="R53" s="10">
        <v>34</v>
      </c>
      <c r="S53" s="10">
        <f>(1000/373.242/E53)*R53</f>
        <v>99.37496072496955</v>
      </c>
      <c r="T53" s="10">
        <f>240/L53*K53</f>
        <v>10.062897058823529</v>
      </c>
      <c r="U53" s="8">
        <f>(S53/$S$18)*100</f>
        <v>230.6108196580492</v>
      </c>
      <c r="W53" s="20">
        <v>19.2904</v>
      </c>
      <c r="X53" s="10">
        <v>99.37496072496955</v>
      </c>
      <c r="Y53" s="10">
        <f>(X53/W53)</f>
        <v>5.151524111732756</v>
      </c>
      <c r="AE53" s="10"/>
    </row>
    <row r="54" spans="1:31" ht="12.75">
      <c r="A54" s="1" t="s">
        <v>52</v>
      </c>
      <c r="B54" t="s">
        <v>192</v>
      </c>
      <c r="C54" s="17">
        <v>22</v>
      </c>
      <c r="D54" s="8">
        <v>0</v>
      </c>
      <c r="E54" s="16">
        <f>(C54+D54/4)/24</f>
        <v>0.9166666666666666</v>
      </c>
      <c r="G54" s="10">
        <v>68</v>
      </c>
      <c r="H54" s="10">
        <f>5760/G54</f>
        <v>84.70588235294117</v>
      </c>
      <c r="J54" s="10">
        <f>373.242/G54</f>
        <v>5.488852941176471</v>
      </c>
      <c r="K54" s="10">
        <f>J54*E54</f>
        <v>5.031448529411764</v>
      </c>
      <c r="L54" s="17">
        <f>(M54*12)+N54</f>
        <v>120</v>
      </c>
      <c r="M54" s="17">
        <v>10</v>
      </c>
      <c r="N54" s="8">
        <v>0</v>
      </c>
      <c r="O54" s="10">
        <f>(M54/20)+(N54/240)</f>
        <v>0.5</v>
      </c>
      <c r="Q54" s="10">
        <f>G54*O54</f>
        <v>34</v>
      </c>
      <c r="R54" s="10">
        <v>34</v>
      </c>
      <c r="S54" s="10">
        <f>(1000/373.242/E54)*R54</f>
        <v>99.37496072496955</v>
      </c>
      <c r="T54" s="10">
        <f>240/L54*K54</f>
        <v>10.062897058823529</v>
      </c>
      <c r="U54" s="8">
        <f>(S54/$S$18)*100</f>
        <v>230.6108196580492</v>
      </c>
      <c r="W54" s="20">
        <v>19.2904</v>
      </c>
      <c r="X54" s="10">
        <v>99.37496072496955</v>
      </c>
      <c r="Y54" s="10">
        <f>(X54/W54)</f>
        <v>5.151524111732756</v>
      </c>
      <c r="AE54" s="10"/>
    </row>
    <row r="55" spans="1:31" ht="12.75">
      <c r="A55" s="1" t="s">
        <v>52</v>
      </c>
      <c r="B55" t="s">
        <v>115</v>
      </c>
      <c r="C55" s="17">
        <v>22</v>
      </c>
      <c r="D55" s="8">
        <v>0</v>
      </c>
      <c r="E55" s="16">
        <f>(C55+D55/4)/24</f>
        <v>0.9166666666666666</v>
      </c>
      <c r="G55" s="10">
        <v>136</v>
      </c>
      <c r="H55" s="10">
        <f>5760/G55</f>
        <v>42.35294117647059</v>
      </c>
      <c r="J55" s="10">
        <f>373.242/G55</f>
        <v>2.7444264705882353</v>
      </c>
      <c r="K55" s="10">
        <f>J55*E55</f>
        <v>2.515724264705882</v>
      </c>
      <c r="L55" s="17">
        <f>(M55*12)+N55</f>
        <v>60</v>
      </c>
      <c r="M55" s="17">
        <v>5</v>
      </c>
      <c r="N55" s="8">
        <v>0</v>
      </c>
      <c r="O55" s="10">
        <f>(M55/20)+(N55/240)</f>
        <v>0.25</v>
      </c>
      <c r="Q55" s="10">
        <f>G55*O55</f>
        <v>34</v>
      </c>
      <c r="R55" s="10">
        <v>34</v>
      </c>
      <c r="S55" s="10">
        <f>(1000/373.242/E55)*R55</f>
        <v>99.37496072496955</v>
      </c>
      <c r="T55" s="10">
        <f>240/L55*K55</f>
        <v>10.062897058823529</v>
      </c>
      <c r="U55" s="8">
        <f>(S55/$S$18)*100</f>
        <v>230.6108196580492</v>
      </c>
      <c r="W55" s="20">
        <v>19.2904</v>
      </c>
      <c r="X55" s="10">
        <v>99.37496072496955</v>
      </c>
      <c r="Y55" s="10">
        <f>(X55/W55)</f>
        <v>5.151524111732756</v>
      </c>
      <c r="AE55" s="10"/>
    </row>
    <row r="56" spans="1:31" ht="12.75">
      <c r="A56" s="1" t="s">
        <v>52</v>
      </c>
      <c r="B56" t="s">
        <v>138</v>
      </c>
      <c r="C56" s="17">
        <v>22</v>
      </c>
      <c r="D56" s="8">
        <v>0</v>
      </c>
      <c r="E56" s="16">
        <f>(C56+D56/4)/24</f>
        <v>0.9166666666666666</v>
      </c>
      <c r="G56" s="10">
        <v>272</v>
      </c>
      <c r="H56" s="10">
        <f>5760/G56</f>
        <v>21.176470588235293</v>
      </c>
      <c r="J56" s="10">
        <f>373.242/G56</f>
        <v>1.3722132352941177</v>
      </c>
      <c r="K56" s="10">
        <f>J56*E56</f>
        <v>1.257862132352941</v>
      </c>
      <c r="L56" s="17">
        <f>(M56*12)+N56</f>
        <v>30</v>
      </c>
      <c r="M56" s="17">
        <v>2</v>
      </c>
      <c r="N56" s="8">
        <v>6</v>
      </c>
      <c r="O56" s="10">
        <f>(M56/20)+(N56/240)</f>
        <v>0.125</v>
      </c>
      <c r="Q56" s="10">
        <f>G56*O56</f>
        <v>34</v>
      </c>
      <c r="R56" s="10">
        <v>34</v>
      </c>
      <c r="S56" s="10">
        <f>(1000/373.242/E56)*R56</f>
        <v>99.37496072496955</v>
      </c>
      <c r="T56" s="10">
        <f>240/L56*K56</f>
        <v>10.062897058823529</v>
      </c>
      <c r="U56" s="8">
        <f>(S56/$S$18)*100</f>
        <v>230.6108196580492</v>
      </c>
      <c r="W56" s="20">
        <v>19.2904</v>
      </c>
      <c r="X56" s="10">
        <v>99.37496072496955</v>
      </c>
      <c r="Y56" s="10">
        <f>(X56/W56)</f>
        <v>5.151524111732756</v>
      </c>
      <c r="AE56" s="10"/>
    </row>
    <row r="57" ht="12.75">
      <c r="AE57" s="10"/>
    </row>
    <row r="58" spans="1:31" ht="12.75">
      <c r="A58" s="1" t="s">
        <v>55</v>
      </c>
      <c r="B58" t="s">
        <v>199</v>
      </c>
      <c r="C58" s="17">
        <v>23</v>
      </c>
      <c r="D58" s="8">
        <v>3.5</v>
      </c>
      <c r="E58" s="16">
        <f>(C58+D58/4)/24</f>
        <v>0.9947916666666666</v>
      </c>
      <c r="G58" s="10">
        <v>24</v>
      </c>
      <c r="H58" s="10">
        <f>5760/G58</f>
        <v>240</v>
      </c>
      <c r="J58" s="10">
        <f>373.242/G58</f>
        <v>15.55175</v>
      </c>
      <c r="K58" s="10">
        <f>J58*E58</f>
        <v>15.470751302083332</v>
      </c>
      <c r="L58" s="17">
        <f>(M58*12)+N58</f>
        <v>288</v>
      </c>
      <c r="M58" s="17">
        <v>24</v>
      </c>
      <c r="N58" s="8">
        <v>0</v>
      </c>
      <c r="O58" s="10">
        <f>(M58/20)+(N58/240)</f>
        <v>1.2</v>
      </c>
      <c r="Q58" s="10">
        <f>G58*O58</f>
        <v>28.799999999999997</v>
      </c>
      <c r="R58" s="9">
        <f>28+(16/20)</f>
        <v>28.8</v>
      </c>
      <c r="S58" s="10">
        <f>(1000/373.242/E58)*R58</f>
        <v>77.56572234720137</v>
      </c>
      <c r="T58" s="10">
        <f>240/L58*K58</f>
        <v>12.892292751736111</v>
      </c>
      <c r="U58" s="8">
        <f>(S58/$S$18)*100</f>
        <v>180.0000188917031</v>
      </c>
      <c r="W58" s="20">
        <v>19.2904</v>
      </c>
      <c r="X58" s="10">
        <v>77.56572234720137</v>
      </c>
      <c r="Y58" s="10">
        <f>(X58/W58)</f>
        <v>4.02094940214829</v>
      </c>
      <c r="AE58" s="10"/>
    </row>
    <row r="59" spans="1:31" ht="12.75">
      <c r="A59" s="1" t="s">
        <v>55</v>
      </c>
      <c r="B59" t="s">
        <v>192</v>
      </c>
      <c r="C59" s="17">
        <v>23</v>
      </c>
      <c r="D59" s="8">
        <v>3.5</v>
      </c>
      <c r="E59" s="16">
        <f>(C59+D59/4)/24</f>
        <v>0.9947916666666666</v>
      </c>
      <c r="G59" s="10">
        <v>48</v>
      </c>
      <c r="H59" s="10">
        <f>5760/G59</f>
        <v>120</v>
      </c>
      <c r="J59" s="10">
        <f>373.242/G59</f>
        <v>7.775875</v>
      </c>
      <c r="K59" s="10">
        <f>J59*E59</f>
        <v>7.735375651041666</v>
      </c>
      <c r="L59" s="17">
        <f>(M59*12)+N59</f>
        <v>144</v>
      </c>
      <c r="M59" s="17">
        <v>12</v>
      </c>
      <c r="N59" s="8">
        <v>0</v>
      </c>
      <c r="O59" s="10">
        <f>(M59/20)+(N59/240)</f>
        <v>0.6</v>
      </c>
      <c r="Q59" s="10">
        <f>G59*O59</f>
        <v>28.799999999999997</v>
      </c>
      <c r="R59" s="9">
        <f>28+(16/20)</f>
        <v>28.8</v>
      </c>
      <c r="S59" s="10">
        <f>(1000/373.242/E59)*R59</f>
        <v>77.56572234720137</v>
      </c>
      <c r="T59" s="10">
        <f>240/L59*K59</f>
        <v>12.892292751736111</v>
      </c>
      <c r="U59" s="8">
        <f>(S59/$S$18)*100</f>
        <v>180.0000188917031</v>
      </c>
      <c r="W59" s="20">
        <v>19.2904</v>
      </c>
      <c r="X59" s="10">
        <v>77.56572234720137</v>
      </c>
      <c r="Y59" s="10">
        <f>(X59/W59)</f>
        <v>4.02094940214829</v>
      </c>
      <c r="AE59" s="10"/>
    </row>
    <row r="60" spans="1:31" ht="12.75">
      <c r="A60" s="1" t="s">
        <v>55</v>
      </c>
      <c r="B60" t="s">
        <v>107</v>
      </c>
      <c r="C60" s="17">
        <v>23</v>
      </c>
      <c r="D60" s="8">
        <v>3.5</v>
      </c>
      <c r="E60" s="16">
        <f>(C60+D60/4)/24</f>
        <v>0.9947916666666666</v>
      </c>
      <c r="G60" s="10">
        <v>72</v>
      </c>
      <c r="H60" s="10">
        <f>5760/G60</f>
        <v>80</v>
      </c>
      <c r="J60" s="10">
        <f>373.242/G60</f>
        <v>5.183916666666667</v>
      </c>
      <c r="K60" s="10">
        <f>J60*E60</f>
        <v>5.156917100694445</v>
      </c>
      <c r="L60" s="17">
        <f>(M60*12)+N60</f>
        <v>96</v>
      </c>
      <c r="M60" s="17">
        <v>8</v>
      </c>
      <c r="N60" s="8">
        <v>0</v>
      </c>
      <c r="O60" s="10">
        <f>(M60/20)+(N60/240)</f>
        <v>0.4</v>
      </c>
      <c r="Q60" s="10">
        <f>G60*O60</f>
        <v>28.8</v>
      </c>
      <c r="R60" s="9">
        <f>28+(16/20)</f>
        <v>28.8</v>
      </c>
      <c r="S60" s="10">
        <f>(1000/373.242/E60)*R60</f>
        <v>77.56572234720137</v>
      </c>
      <c r="T60" s="10">
        <f>240/L60*K60</f>
        <v>12.892292751736111</v>
      </c>
      <c r="U60" s="8">
        <f>(S60/$S$18)*100</f>
        <v>180.0000188917031</v>
      </c>
      <c r="W60" s="20">
        <v>19.2904</v>
      </c>
      <c r="X60" s="10">
        <v>77.56572234720137</v>
      </c>
      <c r="Y60" s="10">
        <f>(X60/W60)</f>
        <v>4.02094940214829</v>
      </c>
      <c r="AE60" s="10"/>
    </row>
    <row r="61" ht="12.75">
      <c r="AE61" s="10"/>
    </row>
    <row r="62" spans="1:31" ht="12.75">
      <c r="A62" s="1" t="s">
        <v>57</v>
      </c>
      <c r="B62" t="s">
        <v>199</v>
      </c>
      <c r="C62" s="17">
        <v>23</v>
      </c>
      <c r="D62" s="8">
        <v>10.5</v>
      </c>
      <c r="E62" s="16">
        <f>(C62+D62/12)/24</f>
        <v>0.9947916666666666</v>
      </c>
      <c r="G62" s="10">
        <v>24</v>
      </c>
      <c r="H62" s="10">
        <f>5760/G62</f>
        <v>240</v>
      </c>
      <c r="J62" s="10">
        <f>373.242/G62</f>
        <v>15.55175</v>
      </c>
      <c r="K62" s="10">
        <f>J62*E62</f>
        <v>15.470751302083332</v>
      </c>
      <c r="L62" s="17">
        <f>(M62*12)+N62</f>
        <v>360</v>
      </c>
      <c r="M62" s="17">
        <v>30</v>
      </c>
      <c r="N62" s="8">
        <v>0</v>
      </c>
      <c r="O62" s="10">
        <f>(M62/20)+(N62/240)</f>
        <v>1.5</v>
      </c>
      <c r="Q62" s="10">
        <f>G62*O62</f>
        <v>36</v>
      </c>
      <c r="R62" s="10">
        <v>36</v>
      </c>
      <c r="S62" s="10">
        <f>(1000/373.242/E62)*R62</f>
        <v>96.95715293400171</v>
      </c>
      <c r="T62" s="10">
        <f>240/L62*K62</f>
        <v>10.313834201388888</v>
      </c>
      <c r="U62" s="8">
        <f>(S62/$S$18)*100</f>
        <v>225.00002361462884</v>
      </c>
      <c r="W62" s="20">
        <v>8.7287</v>
      </c>
      <c r="X62" s="10">
        <v>96.95715293400171</v>
      </c>
      <c r="Y62" s="10">
        <f>(X62/W62)</f>
        <v>11.107857176212004</v>
      </c>
      <c r="AE62" s="10"/>
    </row>
    <row r="63" spans="1:31" ht="12.75">
      <c r="A63" s="1" t="s">
        <v>57</v>
      </c>
      <c r="B63" t="s">
        <v>107</v>
      </c>
      <c r="C63" s="17">
        <v>23</v>
      </c>
      <c r="D63" s="8">
        <v>10.5</v>
      </c>
      <c r="E63" s="16">
        <f>(C63+D63/12)/24</f>
        <v>0.9947916666666666</v>
      </c>
      <c r="G63" s="10">
        <v>72</v>
      </c>
      <c r="H63" s="10">
        <f>5760/G63</f>
        <v>80</v>
      </c>
      <c r="J63" s="10">
        <f>373.242/G63</f>
        <v>5.183916666666667</v>
      </c>
      <c r="K63" s="10">
        <f>J63*E63</f>
        <v>5.156917100694445</v>
      </c>
      <c r="L63" s="17">
        <f>(M63*12)+N63</f>
        <v>120</v>
      </c>
      <c r="M63" s="17">
        <v>10</v>
      </c>
      <c r="N63" s="8">
        <v>0</v>
      </c>
      <c r="O63" s="10">
        <f>(M63/20)+(N63/240)</f>
        <v>0.5</v>
      </c>
      <c r="Q63" s="10">
        <f>G63*O63</f>
        <v>36</v>
      </c>
      <c r="R63" s="10">
        <v>36</v>
      </c>
      <c r="S63" s="10">
        <f>(1000/373.242/E63)*R63</f>
        <v>96.95715293400171</v>
      </c>
      <c r="T63" s="10">
        <f>240/L63*K63</f>
        <v>10.31383420138889</v>
      </c>
      <c r="U63" s="8">
        <f>(S63/$S$18)*100</f>
        <v>225.00002361462884</v>
      </c>
      <c r="W63" s="20">
        <v>8.7287</v>
      </c>
      <c r="X63" s="10">
        <v>96.95715293400171</v>
      </c>
      <c r="Y63" s="10">
        <f>(X63/W63)</f>
        <v>11.107857176212004</v>
      </c>
      <c r="AE63" s="10"/>
    </row>
    <row r="64" ht="12.75">
      <c r="AE64" s="10"/>
    </row>
    <row r="65" spans="1:31" ht="12.75">
      <c r="A65" s="1" t="s">
        <v>57</v>
      </c>
      <c r="B65" t="s">
        <v>199</v>
      </c>
      <c r="C65" s="17">
        <v>22</v>
      </c>
      <c r="D65" s="8">
        <v>0</v>
      </c>
      <c r="E65" s="16">
        <f>(C65+D65/12)/24</f>
        <v>0.9166666666666666</v>
      </c>
      <c r="G65" s="10">
        <v>33</v>
      </c>
      <c r="H65" s="10">
        <f>5760/G65</f>
        <v>174.54545454545453</v>
      </c>
      <c r="J65" s="10">
        <f>373.242/G65</f>
        <v>11.310363636363636</v>
      </c>
      <c r="K65" s="10">
        <f>J65*E65</f>
        <v>10.367833333333333</v>
      </c>
      <c r="L65" s="17">
        <f>(M65*12)+N65</f>
        <v>240</v>
      </c>
      <c r="M65" s="17">
        <v>20</v>
      </c>
      <c r="N65" s="8">
        <v>0</v>
      </c>
      <c r="O65" s="10">
        <f>(M65/20)+(N65/240)</f>
        <v>1</v>
      </c>
      <c r="Q65" s="10">
        <f>G65*O65</f>
        <v>33</v>
      </c>
      <c r="R65" s="10">
        <v>33</v>
      </c>
      <c r="S65" s="10">
        <f>(1000/373.242/E65)*R65</f>
        <v>96.45216776247045</v>
      </c>
      <c r="T65" s="10">
        <f>240/L65*K65</f>
        <v>10.367833333333333</v>
      </c>
      <c r="U65" s="8">
        <f>(S65/$S$18)*100</f>
        <v>223.82814849163597</v>
      </c>
      <c r="W65" s="20">
        <v>8.7287</v>
      </c>
      <c r="X65" s="10">
        <v>96.45216776247045</v>
      </c>
      <c r="Y65" s="10">
        <f>(X65/W65)</f>
        <v>11.050003753419233</v>
      </c>
      <c r="AE65" s="10"/>
    </row>
    <row r="66" spans="1:31" ht="12.75">
      <c r="A66" s="1" t="s">
        <v>57</v>
      </c>
      <c r="B66" t="s">
        <v>192</v>
      </c>
      <c r="C66" s="17">
        <v>22</v>
      </c>
      <c r="D66" s="8">
        <v>0</v>
      </c>
      <c r="E66" s="16">
        <f>(C66+D66/12)/24</f>
        <v>0.9166666666666666</v>
      </c>
      <c r="G66" s="10">
        <v>66</v>
      </c>
      <c r="H66" s="10">
        <f>5760/G66</f>
        <v>87.27272727272727</v>
      </c>
      <c r="J66" s="10">
        <f>373.242/G66</f>
        <v>5.655181818181818</v>
      </c>
      <c r="K66" s="10">
        <f>J66*E66</f>
        <v>5.183916666666667</v>
      </c>
      <c r="L66" s="17">
        <f>(M66*12)+N66</f>
        <v>120</v>
      </c>
      <c r="M66" s="17">
        <v>10</v>
      </c>
      <c r="N66" s="8">
        <v>0</v>
      </c>
      <c r="O66" s="10">
        <f>(M66/20)+(N66/240)</f>
        <v>0.5</v>
      </c>
      <c r="Q66" s="10">
        <f>G66*O66</f>
        <v>33</v>
      </c>
      <c r="R66" s="10">
        <v>33</v>
      </c>
      <c r="S66" s="10">
        <f>(1000/373.242/E66)*R66</f>
        <v>96.45216776247045</v>
      </c>
      <c r="T66" s="10">
        <f>240/L66*K66</f>
        <v>10.367833333333333</v>
      </c>
      <c r="U66" s="8">
        <f>(S66/$S$18)*100</f>
        <v>223.82814849163597</v>
      </c>
      <c r="W66" s="20">
        <v>8.7287</v>
      </c>
      <c r="X66" s="10">
        <v>96.45216776247045</v>
      </c>
      <c r="Y66" s="10">
        <f>(X66/W66)</f>
        <v>11.050003753419233</v>
      </c>
      <c r="AE66" s="10"/>
    </row>
    <row r="67" spans="1:31" ht="12.75">
      <c r="A67" s="1" t="s">
        <v>57</v>
      </c>
      <c r="B67" t="s">
        <v>115</v>
      </c>
      <c r="C67" s="17">
        <v>22</v>
      </c>
      <c r="D67" s="8">
        <v>0</v>
      </c>
      <c r="E67" s="16">
        <f>(C67+D67/12)/24</f>
        <v>0.9166666666666666</v>
      </c>
      <c r="G67" s="10">
        <v>132</v>
      </c>
      <c r="H67" s="10">
        <f>5760/G67</f>
        <v>43.63636363636363</v>
      </c>
      <c r="J67" s="10">
        <f>373.242/G67</f>
        <v>2.827590909090909</v>
      </c>
      <c r="K67" s="10">
        <f>J67*E67</f>
        <v>2.5919583333333334</v>
      </c>
      <c r="L67" s="17">
        <f>(M67*12)+N67</f>
        <v>60</v>
      </c>
      <c r="M67" s="17">
        <v>5</v>
      </c>
      <c r="N67" s="8">
        <v>0</v>
      </c>
      <c r="O67" s="10">
        <f>(M67/20)+(N67/240)</f>
        <v>0.25</v>
      </c>
      <c r="Q67" s="10">
        <f>G67*O67</f>
        <v>33</v>
      </c>
      <c r="R67" s="10">
        <v>33</v>
      </c>
      <c r="S67" s="10">
        <f>(1000/373.242/E67)*R67</f>
        <v>96.45216776247045</v>
      </c>
      <c r="T67" s="10">
        <f>240/L67*K67</f>
        <v>10.367833333333333</v>
      </c>
      <c r="U67" s="8">
        <f>(S67/$S$18)*100</f>
        <v>223.82814849163597</v>
      </c>
      <c r="W67" s="20">
        <v>8.7287</v>
      </c>
      <c r="X67" s="10">
        <v>96.45216776247045</v>
      </c>
      <c r="Y67" s="10">
        <f>(X67/W67)</f>
        <v>11.050003753419233</v>
      </c>
      <c r="AE67" s="10"/>
    </row>
    <row r="68" ht="12.75">
      <c r="AE68" s="10"/>
    </row>
    <row r="69" spans="1:31" ht="12.75">
      <c r="A69" s="1" t="s">
        <v>60</v>
      </c>
      <c r="B69" t="s">
        <v>199</v>
      </c>
      <c r="C69" s="17">
        <v>23</v>
      </c>
      <c r="D69" s="8">
        <v>10.5</v>
      </c>
      <c r="E69" s="16">
        <f>(C69+D69/12)/24</f>
        <v>0.9947916666666666</v>
      </c>
      <c r="G69" s="10">
        <v>24</v>
      </c>
      <c r="H69" s="10">
        <f>5760/G69</f>
        <v>240</v>
      </c>
      <c r="J69" s="10">
        <f>373.242/G69</f>
        <v>15.55175</v>
      </c>
      <c r="K69" s="10">
        <f>J69*E69</f>
        <v>15.470751302083332</v>
      </c>
      <c r="L69" s="17">
        <f>(M69*12)+N69</f>
        <v>360</v>
      </c>
      <c r="M69" s="17">
        <v>30</v>
      </c>
      <c r="N69" s="8">
        <v>0</v>
      </c>
      <c r="O69" s="10">
        <f>(M69/20)+(N69/240)</f>
        <v>1.5</v>
      </c>
      <c r="Q69" s="10">
        <f>G69*O69</f>
        <v>36</v>
      </c>
      <c r="R69" s="10">
        <v>36</v>
      </c>
      <c r="S69" s="10">
        <f>(1000/373.242/E69)*R69</f>
        <v>96.95715293400171</v>
      </c>
      <c r="T69" s="10">
        <f>240/L69*K69</f>
        <v>10.313834201388888</v>
      </c>
      <c r="U69" s="8">
        <f>(S69/$S$18)*100</f>
        <v>225.00002361462884</v>
      </c>
      <c r="W69" s="20">
        <v>8.7684</v>
      </c>
      <c r="X69" s="10">
        <v>96.95715293400171</v>
      </c>
      <c r="Y69" s="10">
        <f>(X69/W69)</f>
        <v>11.057564998631644</v>
      </c>
      <c r="AE69" s="10"/>
    </row>
    <row r="70" spans="1:31" ht="12.75">
      <c r="A70" s="1" t="s">
        <v>60</v>
      </c>
      <c r="B70" t="s">
        <v>192</v>
      </c>
      <c r="C70" s="17">
        <v>23</v>
      </c>
      <c r="D70" s="8">
        <v>10.5</v>
      </c>
      <c r="E70" s="16">
        <f>(C70+D70/12)/24</f>
        <v>0.9947916666666666</v>
      </c>
      <c r="G70" s="10">
        <v>48</v>
      </c>
      <c r="H70" s="10">
        <f>5760/G70</f>
        <v>120</v>
      </c>
      <c r="J70" s="10">
        <f>373.242/G70</f>
        <v>7.775875</v>
      </c>
      <c r="K70" s="10">
        <f>J70*E70</f>
        <v>7.735375651041666</v>
      </c>
      <c r="L70" s="17">
        <f>(M70*12)+N70</f>
        <v>180</v>
      </c>
      <c r="M70" s="17">
        <v>15</v>
      </c>
      <c r="N70" s="8">
        <v>0</v>
      </c>
      <c r="O70" s="10">
        <f>(M70/20)+(N70/240)</f>
        <v>0.75</v>
      </c>
      <c r="Q70" s="10">
        <f>G70*O70</f>
        <v>36</v>
      </c>
      <c r="R70" s="10">
        <v>36</v>
      </c>
      <c r="S70" s="10">
        <f>(1000/373.242/E70)*R70</f>
        <v>96.95715293400171</v>
      </c>
      <c r="T70" s="10">
        <f>240/L70*K70</f>
        <v>10.313834201388888</v>
      </c>
      <c r="U70" s="8">
        <f>(S70/$S$18)*100</f>
        <v>225.00002361462884</v>
      </c>
      <c r="W70" s="20">
        <v>8.7684</v>
      </c>
      <c r="X70" s="10">
        <v>96.95715293400171</v>
      </c>
      <c r="Y70" s="10">
        <f>(X70/W70)</f>
        <v>11.057564998631644</v>
      </c>
      <c r="AE70" s="10"/>
    </row>
    <row r="71" spans="1:31" ht="12.75">
      <c r="A71" s="1" t="s">
        <v>60</v>
      </c>
      <c r="B71" t="s">
        <v>107</v>
      </c>
      <c r="C71" s="17">
        <v>23</v>
      </c>
      <c r="D71" s="8">
        <v>10.5</v>
      </c>
      <c r="E71" s="16">
        <f>(C71+D71/12)/24</f>
        <v>0.9947916666666666</v>
      </c>
      <c r="G71" s="10">
        <v>72</v>
      </c>
      <c r="H71" s="10">
        <f>5760/G71</f>
        <v>80</v>
      </c>
      <c r="J71" s="10">
        <f>373.242/G71</f>
        <v>5.183916666666667</v>
      </c>
      <c r="K71" s="10">
        <f>J71*E71</f>
        <v>5.156917100694445</v>
      </c>
      <c r="L71" s="17">
        <f>(M71*12)+N71</f>
        <v>120</v>
      </c>
      <c r="M71" s="17">
        <v>10</v>
      </c>
      <c r="N71" s="8">
        <v>0</v>
      </c>
      <c r="O71" s="10">
        <f>(M71/20)+(N71/240)</f>
        <v>0.5</v>
      </c>
      <c r="Q71" s="10">
        <f>G71*O71</f>
        <v>36</v>
      </c>
      <c r="R71" s="10">
        <v>36</v>
      </c>
      <c r="S71" s="10">
        <f>(1000/373.242/E71)*R71</f>
        <v>96.95715293400171</v>
      </c>
      <c r="T71" s="10">
        <f>240/L71*K71</f>
        <v>10.31383420138889</v>
      </c>
      <c r="U71" s="8">
        <f>(S71/$S$18)*100</f>
        <v>225.00002361462884</v>
      </c>
      <c r="W71" s="20">
        <v>8.7684</v>
      </c>
      <c r="X71" s="10">
        <v>96.95715293400171</v>
      </c>
      <c r="Y71" s="10">
        <f>(X71/W71)</f>
        <v>11.057564998631644</v>
      </c>
      <c r="AE71" s="10"/>
    </row>
    <row r="72" ht="12.75">
      <c r="AE72" s="10"/>
    </row>
    <row r="73" spans="1:31" ht="12.75">
      <c r="A73" s="1" t="s">
        <v>63</v>
      </c>
      <c r="B73" t="s">
        <v>199</v>
      </c>
      <c r="C73" s="17">
        <v>23</v>
      </c>
      <c r="D73" s="8">
        <v>3.5</v>
      </c>
      <c r="E73" s="16">
        <f>(C73+D73/4)/24</f>
        <v>0.9947916666666666</v>
      </c>
      <c r="G73" s="10">
        <v>24</v>
      </c>
      <c r="H73" s="10">
        <f>5760/G73</f>
        <v>240</v>
      </c>
      <c r="J73" s="10">
        <f>373.242/G73</f>
        <v>15.55175</v>
      </c>
      <c r="K73" s="10">
        <f>J73*E73</f>
        <v>15.470751302083332</v>
      </c>
      <c r="L73" s="17">
        <f>(M73*12)+N73</f>
        <v>360</v>
      </c>
      <c r="M73" s="17">
        <v>30</v>
      </c>
      <c r="N73" s="8">
        <v>0</v>
      </c>
      <c r="O73" s="10">
        <f>(M73/20)+(N73/240)</f>
        <v>1.5</v>
      </c>
      <c r="Q73" s="10">
        <f>G73*O73</f>
        <v>36</v>
      </c>
      <c r="R73" s="10">
        <v>36</v>
      </c>
      <c r="S73" s="10">
        <f>(1000/373.242/E73)*R73</f>
        <v>96.95715293400171</v>
      </c>
      <c r="T73" s="10">
        <f>240/L73*K73</f>
        <v>10.313834201388888</v>
      </c>
      <c r="U73" s="8">
        <f>(S73/$S$18)*100</f>
        <v>225.00002361462884</v>
      </c>
      <c r="W73" s="20">
        <v>8.6894</v>
      </c>
      <c r="X73" s="10">
        <v>96.95715293400171</v>
      </c>
      <c r="Y73" s="10">
        <f>(X73/W73)</f>
        <v>11.158095257900628</v>
      </c>
      <c r="AE73" s="10"/>
    </row>
    <row r="74" spans="1:31" ht="12.75">
      <c r="A74" s="1" t="s">
        <v>63</v>
      </c>
      <c r="B74" t="s">
        <v>192</v>
      </c>
      <c r="C74" s="17">
        <v>23</v>
      </c>
      <c r="D74" s="8">
        <v>3.5</v>
      </c>
      <c r="E74" s="16">
        <f>(C74+D74/4)/24</f>
        <v>0.9947916666666666</v>
      </c>
      <c r="G74" s="10">
        <v>48</v>
      </c>
      <c r="H74" s="10">
        <f>5760/G74</f>
        <v>120</v>
      </c>
      <c r="J74" s="10">
        <f>373.242/G74</f>
        <v>7.775875</v>
      </c>
      <c r="K74" s="10">
        <f>J74*E74</f>
        <v>7.735375651041666</v>
      </c>
      <c r="L74" s="17">
        <f>(M74*12)+N74</f>
        <v>180</v>
      </c>
      <c r="M74" s="17">
        <v>15</v>
      </c>
      <c r="N74" s="8">
        <v>0</v>
      </c>
      <c r="O74" s="10">
        <f>(M74/20)+(N74/240)</f>
        <v>0.75</v>
      </c>
      <c r="Q74" s="10">
        <f>G74*O74</f>
        <v>36</v>
      </c>
      <c r="R74" s="10">
        <v>36</v>
      </c>
      <c r="S74" s="10">
        <f>(1000/373.242/E74)*R74</f>
        <v>96.95715293400171</v>
      </c>
      <c r="T74" s="10">
        <f>240/L74*K74</f>
        <v>10.313834201388888</v>
      </c>
      <c r="U74" s="8">
        <f>(S74/$S$18)*100</f>
        <v>225.00002361462884</v>
      </c>
      <c r="W74" s="20">
        <v>8.6894</v>
      </c>
      <c r="X74" s="10">
        <v>96.95715293400171</v>
      </c>
      <c r="Y74" s="10">
        <f>(X74/W74)</f>
        <v>11.158095257900628</v>
      </c>
      <c r="AE74" s="10"/>
    </row>
    <row r="75" spans="1:31" ht="12.75">
      <c r="A75" s="1" t="s">
        <v>63</v>
      </c>
      <c r="B75" t="s">
        <v>107</v>
      </c>
      <c r="C75" s="17">
        <v>23</v>
      </c>
      <c r="D75" s="8">
        <v>3.5</v>
      </c>
      <c r="E75" s="16">
        <f>(C75+D75/4)/24</f>
        <v>0.9947916666666666</v>
      </c>
      <c r="G75" s="10">
        <v>72</v>
      </c>
      <c r="H75" s="10">
        <f>5760/G75</f>
        <v>80</v>
      </c>
      <c r="J75" s="10">
        <f>373.242/G75</f>
        <v>5.183916666666667</v>
      </c>
      <c r="K75" s="10">
        <f>J75*E75</f>
        <v>5.156917100694445</v>
      </c>
      <c r="L75" s="17">
        <f>(M75*12)+N75</f>
        <v>120</v>
      </c>
      <c r="M75" s="17">
        <v>10</v>
      </c>
      <c r="N75" s="8">
        <v>0</v>
      </c>
      <c r="O75" s="10">
        <f>(M75/20)+(N75/240)</f>
        <v>0.5</v>
      </c>
      <c r="Q75" s="10">
        <f>G75*O75</f>
        <v>36</v>
      </c>
      <c r="R75" s="10">
        <v>36</v>
      </c>
      <c r="S75" s="10">
        <f>(1000/373.242/E75)*R75</f>
        <v>96.95715293400171</v>
      </c>
      <c r="T75" s="10">
        <f>240/L75*K75</f>
        <v>10.31383420138889</v>
      </c>
      <c r="U75" s="8">
        <f>(S75/$S$18)*100</f>
        <v>225.00002361462884</v>
      </c>
      <c r="W75" s="20">
        <v>8.6894</v>
      </c>
      <c r="X75" s="10">
        <v>96.95715293400171</v>
      </c>
      <c r="Y75" s="10">
        <f>(X75/W75)</f>
        <v>11.158095257900628</v>
      </c>
      <c r="AE75" s="10"/>
    </row>
    <row r="76" ht="12.75">
      <c r="AE76" s="10"/>
    </row>
    <row r="77" spans="1:31" ht="12.75">
      <c r="A77" s="1" t="s">
        <v>63</v>
      </c>
      <c r="B77" t="s">
        <v>199</v>
      </c>
      <c r="C77" s="17">
        <v>22</v>
      </c>
      <c r="D77" s="8">
        <v>0</v>
      </c>
      <c r="E77" s="16">
        <f>(C77+D77/4)/24</f>
        <v>0.9166666666666666</v>
      </c>
      <c r="G77" s="10">
        <v>33</v>
      </c>
      <c r="H77" s="10">
        <f>5760/G77</f>
        <v>174.54545454545453</v>
      </c>
      <c r="J77" s="10">
        <f>373.242/G77</f>
        <v>11.310363636363636</v>
      </c>
      <c r="K77" s="10">
        <f>J77*E77</f>
        <v>10.367833333333333</v>
      </c>
      <c r="L77" s="17">
        <f>(M77*12)+N77</f>
        <v>240</v>
      </c>
      <c r="M77" s="17">
        <v>20</v>
      </c>
      <c r="N77" s="8">
        <v>0</v>
      </c>
      <c r="O77" s="10">
        <f>(M77/20)+(N77/240)</f>
        <v>1</v>
      </c>
      <c r="Q77" s="10">
        <f>G77*O77</f>
        <v>33</v>
      </c>
      <c r="R77" s="10">
        <v>33</v>
      </c>
      <c r="S77" s="10">
        <f>(1000/373.242/E77)*R77</f>
        <v>96.45216776247045</v>
      </c>
      <c r="T77" s="10">
        <f>240/L77*K77</f>
        <v>10.367833333333333</v>
      </c>
      <c r="U77" s="8">
        <f>(S77/$S$18)*100</f>
        <v>223.82814849163597</v>
      </c>
      <c r="W77" s="20">
        <v>8.6894</v>
      </c>
      <c r="X77" s="10">
        <v>96.45216776247045</v>
      </c>
      <c r="Y77" s="10">
        <f>(X77/W77)</f>
        <v>11.099980178432396</v>
      </c>
      <c r="AE77" s="10"/>
    </row>
    <row r="78" spans="1:31" ht="12.75">
      <c r="A78" s="1" t="s">
        <v>63</v>
      </c>
      <c r="B78" t="s">
        <v>107</v>
      </c>
      <c r="C78" s="17">
        <v>22</v>
      </c>
      <c r="D78" s="8">
        <v>0</v>
      </c>
      <c r="E78" s="16">
        <f>(C78+D78/4)/24</f>
        <v>0.9166666666666666</v>
      </c>
      <c r="G78" s="10">
        <v>66</v>
      </c>
      <c r="H78" s="10">
        <f>5760/G78</f>
        <v>87.27272727272727</v>
      </c>
      <c r="J78" s="10">
        <f>373.242/G78</f>
        <v>5.655181818181818</v>
      </c>
      <c r="K78" s="10">
        <f>J78*E78</f>
        <v>5.183916666666667</v>
      </c>
      <c r="L78" s="17">
        <f>(M78*12)+N78</f>
        <v>120</v>
      </c>
      <c r="M78" s="17">
        <v>10</v>
      </c>
      <c r="N78" s="8">
        <v>0</v>
      </c>
      <c r="O78" s="10">
        <f>(M78/20)+(N78/240)</f>
        <v>0.5</v>
      </c>
      <c r="Q78" s="10">
        <f>G78*O78</f>
        <v>33</v>
      </c>
      <c r="R78" s="10">
        <v>33</v>
      </c>
      <c r="S78" s="10">
        <f>(1000/373.242/E78)*R78</f>
        <v>96.45216776247045</v>
      </c>
      <c r="T78" s="10">
        <f>240/L78*K78</f>
        <v>10.367833333333333</v>
      </c>
      <c r="U78" s="8">
        <f>(S78/$S$18)*100</f>
        <v>223.82814849163597</v>
      </c>
      <c r="W78" s="20">
        <v>8.6894</v>
      </c>
      <c r="X78" s="10">
        <v>96.45216776247045</v>
      </c>
      <c r="Y78" s="10">
        <f>(X78/W78)</f>
        <v>11.099980178432396</v>
      </c>
      <c r="AE78" s="10"/>
    </row>
    <row r="79" spans="1:31" ht="12.75">
      <c r="A79" s="1" t="s">
        <v>63</v>
      </c>
      <c r="B79" t="s">
        <v>115</v>
      </c>
      <c r="C79" s="17">
        <v>22</v>
      </c>
      <c r="D79" s="8">
        <v>0</v>
      </c>
      <c r="E79" s="16">
        <f>(C79+D79/4)/24</f>
        <v>0.9166666666666666</v>
      </c>
      <c r="G79" s="10">
        <v>132</v>
      </c>
      <c r="H79" s="10">
        <f>5760/G79</f>
        <v>43.63636363636363</v>
      </c>
      <c r="J79" s="10">
        <f>373.242/G79</f>
        <v>2.827590909090909</v>
      </c>
      <c r="K79" s="10">
        <f>J79*E79</f>
        <v>2.5919583333333334</v>
      </c>
      <c r="L79" s="17">
        <f>(M79*12)+N79</f>
        <v>60</v>
      </c>
      <c r="M79" s="17">
        <v>5</v>
      </c>
      <c r="N79" s="8">
        <v>0</v>
      </c>
      <c r="O79" s="10">
        <f>(M79/20)+(N79/240)</f>
        <v>0.25</v>
      </c>
      <c r="Q79" s="10">
        <f>G79*O79</f>
        <v>33</v>
      </c>
      <c r="R79" s="10">
        <v>33</v>
      </c>
      <c r="S79" s="10">
        <f>(1000/373.242/E79)*R79</f>
        <v>96.45216776247045</v>
      </c>
      <c r="T79" s="10">
        <f>240/L79*K79</f>
        <v>10.367833333333333</v>
      </c>
      <c r="U79" s="8">
        <f>(S79/$S$18)*100</f>
        <v>223.82814849163597</v>
      </c>
      <c r="W79" s="20">
        <v>8.6894</v>
      </c>
      <c r="X79" s="10">
        <v>96.45216776247045</v>
      </c>
      <c r="Y79" s="10">
        <f>(X79/W79)</f>
        <v>11.099980178432396</v>
      </c>
      <c r="AE79" s="10"/>
    </row>
    <row r="80" ht="12.75">
      <c r="AE80" s="10"/>
    </row>
    <row r="81" spans="1:31" ht="12.75">
      <c r="A81" s="1" t="s">
        <v>65</v>
      </c>
      <c r="B81" t="s">
        <v>107</v>
      </c>
      <c r="C81" s="17">
        <v>23</v>
      </c>
      <c r="D81" s="8">
        <v>3.5</v>
      </c>
      <c r="E81" s="16">
        <f>(C81+D81/4)/24</f>
        <v>0.9947916666666666</v>
      </c>
      <c r="G81" s="10">
        <v>72</v>
      </c>
      <c r="H81" s="10">
        <f>5760/G81</f>
        <v>80</v>
      </c>
      <c r="J81" s="10">
        <f>373.242/G81</f>
        <v>5.183916666666667</v>
      </c>
      <c r="K81" s="10">
        <f>J81*E81</f>
        <v>5.156917100694445</v>
      </c>
      <c r="L81" s="17">
        <f>(M81*12)+N81</f>
        <v>120</v>
      </c>
      <c r="M81" s="17">
        <v>10</v>
      </c>
      <c r="N81" s="8">
        <v>0</v>
      </c>
      <c r="O81" s="10">
        <f>(M81/20)+(N81/240)</f>
        <v>0.5</v>
      </c>
      <c r="Q81" s="10">
        <f>G81*O81</f>
        <v>36</v>
      </c>
      <c r="R81" s="10">
        <v>36</v>
      </c>
      <c r="S81" s="10">
        <f>(1000/373.242/E81)*R81</f>
        <v>96.95715293400171</v>
      </c>
      <c r="T81" s="10">
        <f>240/L81*K81</f>
        <v>10.31383420138889</v>
      </c>
      <c r="U81" s="8">
        <f>(S81/$S$18)*100</f>
        <v>225.00002361462884</v>
      </c>
      <c r="W81" s="20">
        <v>8.6894</v>
      </c>
      <c r="X81" s="10">
        <v>96.95715293400171</v>
      </c>
      <c r="Y81" s="10">
        <f>(X81/W81)</f>
        <v>11.158095257900628</v>
      </c>
      <c r="AE81" s="10"/>
    </row>
    <row r="82" spans="1:31" ht="12.75">
      <c r="A82" s="1" t="s">
        <v>65</v>
      </c>
      <c r="B82" t="s">
        <v>115</v>
      </c>
      <c r="C82" s="17">
        <v>23</v>
      </c>
      <c r="D82" s="8">
        <v>3.5</v>
      </c>
      <c r="E82" s="16">
        <f>(C82+D82/4)/24</f>
        <v>0.9947916666666666</v>
      </c>
      <c r="G82" s="10">
        <v>144</v>
      </c>
      <c r="H82" s="10">
        <f>5760/G82</f>
        <v>40</v>
      </c>
      <c r="J82" s="10">
        <f>373.242/G82</f>
        <v>2.5919583333333334</v>
      </c>
      <c r="K82" s="10">
        <f>J82*E82</f>
        <v>2.5784585503472224</v>
      </c>
      <c r="L82" s="17">
        <f>(M82*12)+N82</f>
        <v>60</v>
      </c>
      <c r="M82" s="17">
        <v>5</v>
      </c>
      <c r="N82" s="8">
        <v>0</v>
      </c>
      <c r="O82" s="10">
        <f>(M82/20)+(N82/240)</f>
        <v>0.25</v>
      </c>
      <c r="Q82" s="10">
        <f>G82*O82</f>
        <v>36</v>
      </c>
      <c r="R82" s="10">
        <v>36</v>
      </c>
      <c r="S82" s="10">
        <f>(1000/373.242/E82)*R82</f>
        <v>96.95715293400171</v>
      </c>
      <c r="T82" s="10">
        <f>240/L82*K82</f>
        <v>10.31383420138889</v>
      </c>
      <c r="U82" s="8">
        <f>(S82/$S$18)*100</f>
        <v>225.00002361462884</v>
      </c>
      <c r="W82" s="20">
        <v>8.6894</v>
      </c>
      <c r="X82" s="10">
        <v>96.95715293400171</v>
      </c>
      <c r="Y82" s="10">
        <f>(X82/W82)</f>
        <v>11.158095257900628</v>
      </c>
      <c r="AE82" s="10"/>
    </row>
    <row r="83" ht="12.75">
      <c r="AE83" s="10"/>
    </row>
    <row r="84" spans="1:31" ht="12.75">
      <c r="A84" s="1" t="s">
        <v>66</v>
      </c>
      <c r="B84" t="s">
        <v>107</v>
      </c>
      <c r="C84" s="17">
        <v>23</v>
      </c>
      <c r="D84" s="8">
        <v>3.5</v>
      </c>
      <c r="E84" s="16">
        <f>(C84+D84/4)/24</f>
        <v>0.9947916666666666</v>
      </c>
      <c r="G84" s="10">
        <v>72.1875</v>
      </c>
      <c r="H84" s="10">
        <f>5760/G84</f>
        <v>79.79220779220779</v>
      </c>
      <c r="J84" s="10">
        <f>373.242/G84</f>
        <v>5.170451948051948</v>
      </c>
      <c r="K84" s="10">
        <f>J84*E84</f>
        <v>5.14352251082251</v>
      </c>
      <c r="L84" s="17">
        <f>(M84*12)+N84</f>
        <v>120</v>
      </c>
      <c r="M84" s="17">
        <v>10</v>
      </c>
      <c r="N84" s="8">
        <v>0</v>
      </c>
      <c r="O84" s="10">
        <f>(M84/20)+(N84/240)</f>
        <v>0.5</v>
      </c>
      <c r="Q84" s="10">
        <f>G84*O84</f>
        <v>36.09375</v>
      </c>
      <c r="R84" s="10">
        <f>36+(1/20)+(10.5/240)</f>
        <v>36.09375</v>
      </c>
      <c r="S84" s="10">
        <f>(1000/373.242/E84)*R84</f>
        <v>97.20964551976735</v>
      </c>
      <c r="T84" s="10">
        <f>240/L84*K84</f>
        <v>10.28704502164502</v>
      </c>
      <c r="U84" s="8">
        <f>(S84/$S$18)*100</f>
        <v>225.5859611761253</v>
      </c>
      <c r="W84" s="20">
        <v>8.7651</v>
      </c>
      <c r="X84" s="10">
        <v>97.20964551976735</v>
      </c>
      <c r="Y84" s="10">
        <f>(X84/W84)</f>
        <v>11.09053467955498</v>
      </c>
      <c r="AE84" s="10"/>
    </row>
    <row r="85" ht="12.75">
      <c r="AE85" s="10"/>
    </row>
    <row r="86" spans="1:31" ht="12.75">
      <c r="A86" s="1" t="s">
        <v>68</v>
      </c>
      <c r="B86" t="s">
        <v>107</v>
      </c>
      <c r="C86" s="17">
        <v>23</v>
      </c>
      <c r="D86" s="8">
        <v>3.5</v>
      </c>
      <c r="E86" s="16">
        <f>(C86+D86/4)/24</f>
        <v>0.9947916666666666</v>
      </c>
      <c r="G86" s="10">
        <v>72</v>
      </c>
      <c r="H86" s="10">
        <f>5760/G86</f>
        <v>80</v>
      </c>
      <c r="J86" s="10">
        <f>373.242/G86</f>
        <v>5.183916666666667</v>
      </c>
      <c r="K86" s="10">
        <f>J86*E86</f>
        <v>5.156917100694445</v>
      </c>
      <c r="L86" s="17">
        <f>(M86*12)+N86</f>
        <v>120</v>
      </c>
      <c r="M86" s="17">
        <v>10</v>
      </c>
      <c r="N86" s="8">
        <v>0</v>
      </c>
      <c r="O86" s="10">
        <f>(M86/20)+(N86/240)</f>
        <v>0.5</v>
      </c>
      <c r="Q86" s="10">
        <f>G86*O86</f>
        <v>36</v>
      </c>
      <c r="R86" s="10">
        <v>36</v>
      </c>
      <c r="S86" s="10">
        <f>(1000/373.242/E86)*R86</f>
        <v>96.95715293400171</v>
      </c>
      <c r="T86" s="10">
        <f>240/L86*K86</f>
        <v>10.31383420138889</v>
      </c>
      <c r="U86" s="8">
        <f>(S86/$S$18)*100</f>
        <v>225.00002361462884</v>
      </c>
      <c r="W86" s="20">
        <v>8.6894</v>
      </c>
      <c r="X86" s="10">
        <v>96.95715293400171</v>
      </c>
      <c r="Y86" s="10">
        <f>(X86/W86)</f>
        <v>11.158095257900628</v>
      </c>
      <c r="AE86" s="10"/>
    </row>
    <row r="87" ht="12.75">
      <c r="AE87" s="10"/>
    </row>
    <row r="88" spans="1:31" ht="12.75">
      <c r="A88" s="1" t="s">
        <v>70</v>
      </c>
      <c r="B88" t="s">
        <v>199</v>
      </c>
      <c r="C88" s="17">
        <v>22</v>
      </c>
      <c r="D88" s="8">
        <v>0</v>
      </c>
      <c r="E88" s="16">
        <f>(C88+D88/4)/24</f>
        <v>0.9166666666666666</v>
      </c>
      <c r="G88" s="10">
        <v>33</v>
      </c>
      <c r="H88" s="10">
        <f>5760/G88</f>
        <v>174.54545454545453</v>
      </c>
      <c r="J88" s="10">
        <f>373.242/G88</f>
        <v>11.310363636363636</v>
      </c>
      <c r="K88" s="10">
        <f>J88*E88</f>
        <v>10.367833333333333</v>
      </c>
      <c r="L88" s="17">
        <f>(M88*12)+N88</f>
        <v>240</v>
      </c>
      <c r="M88" s="17">
        <v>20</v>
      </c>
      <c r="N88" s="8">
        <v>0</v>
      </c>
      <c r="O88" s="10">
        <f>(M88/20)+(N88/240)</f>
        <v>1</v>
      </c>
      <c r="Q88" s="10">
        <f>G88*O88</f>
        <v>33</v>
      </c>
      <c r="R88" s="10">
        <v>33</v>
      </c>
      <c r="S88" s="10">
        <f>(1000/373.242/E88)*R88</f>
        <v>96.45216776247045</v>
      </c>
      <c r="T88" s="10">
        <f>240/L88*K88</f>
        <v>10.367833333333333</v>
      </c>
      <c r="U88" s="8">
        <f>(S88/$S$18)*100</f>
        <v>223.82814849163597</v>
      </c>
      <c r="W88" s="20">
        <v>8.6894</v>
      </c>
      <c r="X88" s="10">
        <v>96.45216776247045</v>
      </c>
      <c r="Y88" s="10">
        <f>(X88/W88)</f>
        <v>11.099980178432396</v>
      </c>
      <c r="AE88" s="10"/>
    </row>
    <row r="89" spans="1:31" ht="12.75">
      <c r="A89" s="1" t="s">
        <v>70</v>
      </c>
      <c r="B89" t="s">
        <v>107</v>
      </c>
      <c r="C89" s="17">
        <v>22</v>
      </c>
      <c r="D89" s="8">
        <v>0</v>
      </c>
      <c r="E89" s="16">
        <f>(C89+D89/4)/24</f>
        <v>0.9166666666666666</v>
      </c>
      <c r="G89" s="10">
        <v>66</v>
      </c>
      <c r="H89" s="10">
        <f>5760/G89</f>
        <v>87.27272727272727</v>
      </c>
      <c r="J89" s="10">
        <f>373.242/G89</f>
        <v>5.655181818181818</v>
      </c>
      <c r="K89" s="10">
        <f>J89*E89</f>
        <v>5.183916666666667</v>
      </c>
      <c r="L89" s="17">
        <f>(M89*12)+N89</f>
        <v>120</v>
      </c>
      <c r="M89" s="17">
        <v>10</v>
      </c>
      <c r="N89" s="8">
        <v>0</v>
      </c>
      <c r="O89" s="10">
        <f>(M89/20)+(N89/240)</f>
        <v>0.5</v>
      </c>
      <c r="Q89" s="10">
        <f>G89*O89</f>
        <v>33</v>
      </c>
      <c r="R89" s="10">
        <v>33</v>
      </c>
      <c r="S89" s="10">
        <f>(1000/373.242/E89)*R89</f>
        <v>96.45216776247045</v>
      </c>
      <c r="T89" s="10">
        <f>240/L89*K89</f>
        <v>10.367833333333333</v>
      </c>
      <c r="U89" s="8">
        <f>(S89/$S$18)*100</f>
        <v>223.82814849163597</v>
      </c>
      <c r="W89" s="20">
        <v>8.6894</v>
      </c>
      <c r="X89" s="10">
        <v>96.45216776247045</v>
      </c>
      <c r="Y89" s="10">
        <f>(X89/W89)</f>
        <v>11.099980178432396</v>
      </c>
      <c r="AE89" s="10"/>
    </row>
    <row r="90" spans="1:31" ht="12.75">
      <c r="A90" s="1" t="s">
        <v>70</v>
      </c>
      <c r="B90" t="s">
        <v>115</v>
      </c>
      <c r="C90" s="17">
        <v>22</v>
      </c>
      <c r="D90" s="8">
        <v>0</v>
      </c>
      <c r="E90" s="16">
        <f>(C90+D90/4)/24</f>
        <v>0.9166666666666666</v>
      </c>
      <c r="G90" s="10">
        <v>132</v>
      </c>
      <c r="H90" s="10">
        <f>5760/G90</f>
        <v>43.63636363636363</v>
      </c>
      <c r="J90" s="10">
        <f>373.242/G90</f>
        <v>2.827590909090909</v>
      </c>
      <c r="K90" s="10">
        <f>J90*E90</f>
        <v>2.5919583333333334</v>
      </c>
      <c r="L90" s="17">
        <f>(M90*12)+N90</f>
        <v>60</v>
      </c>
      <c r="M90" s="17">
        <v>5</v>
      </c>
      <c r="N90" s="8">
        <v>0</v>
      </c>
      <c r="O90" s="10">
        <f>(M90/20)+(N90/240)</f>
        <v>0.25</v>
      </c>
      <c r="Q90" s="10">
        <f>G90*O90</f>
        <v>33</v>
      </c>
      <c r="R90" s="10">
        <v>33</v>
      </c>
      <c r="S90" s="10">
        <f>(1000/373.242/E90)*R90</f>
        <v>96.45216776247045</v>
      </c>
      <c r="T90" s="10">
        <f>240/L90*K90</f>
        <v>10.367833333333333</v>
      </c>
      <c r="U90" s="8">
        <f>(S90/$S$18)*100</f>
        <v>223.82814849163597</v>
      </c>
      <c r="W90" s="20">
        <v>8.6894</v>
      </c>
      <c r="X90" s="10">
        <v>96.45216776247045</v>
      </c>
      <c r="Y90" s="10">
        <f>(X90/W90)</f>
        <v>11.099980178432396</v>
      </c>
      <c r="AE90" s="10"/>
    </row>
    <row r="91" ht="12.75">
      <c r="AE91" s="10"/>
    </row>
    <row r="92" spans="1:31" ht="12.75">
      <c r="A92" s="1" t="s">
        <v>71</v>
      </c>
      <c r="B92" t="s">
        <v>107</v>
      </c>
      <c r="C92" s="17">
        <v>23</v>
      </c>
      <c r="D92" s="8">
        <v>3.5</v>
      </c>
      <c r="E92" s="16">
        <f>(C92+D92/4)/24</f>
        <v>0.9947916666666666</v>
      </c>
      <c r="G92" s="10">
        <v>73</v>
      </c>
      <c r="H92" s="10">
        <f>5760/G92</f>
        <v>78.9041095890411</v>
      </c>
      <c r="J92" s="10">
        <f>373.242/G92</f>
        <v>5.112904109589041</v>
      </c>
      <c r="K92" s="10">
        <f>J92*E92</f>
        <v>5.086274400684932</v>
      </c>
      <c r="L92" s="17">
        <f>(M92*12)+N92</f>
        <v>120</v>
      </c>
      <c r="M92" s="17">
        <v>10</v>
      </c>
      <c r="N92" s="8">
        <v>0</v>
      </c>
      <c r="O92" s="10">
        <f>(M92/20)+(N92/240)</f>
        <v>0.5</v>
      </c>
      <c r="Q92" s="10">
        <f>G92*O92</f>
        <v>36.5</v>
      </c>
      <c r="R92" s="10">
        <f>36+(10/20)</f>
        <v>36.5</v>
      </c>
      <c r="S92" s="10">
        <f>(1000/373.242/E92)*R92</f>
        <v>98.30378005808507</v>
      </c>
      <c r="T92" s="10">
        <f>240/L92*K92</f>
        <v>10.172548801369864</v>
      </c>
      <c r="U92" s="8">
        <f>(S92/$S$18)*100</f>
        <v>228.1250239426098</v>
      </c>
      <c r="W92" s="20">
        <v>8.979</v>
      </c>
      <c r="X92" s="10">
        <v>98.30378005808507</v>
      </c>
      <c r="Y92" s="10">
        <f>(X92/W92)</f>
        <v>10.948188000677701</v>
      </c>
      <c r="AE92" s="10"/>
    </row>
    <row r="93" spans="1:31" ht="12.75">
      <c r="A93" s="1" t="s">
        <v>71</v>
      </c>
      <c r="B93" t="s">
        <v>115</v>
      </c>
      <c r="C93" s="17">
        <v>23</v>
      </c>
      <c r="D93" s="8">
        <v>3.5</v>
      </c>
      <c r="E93" s="16">
        <f>(C93+D93/4)/24</f>
        <v>0.9947916666666666</v>
      </c>
      <c r="G93" s="10">
        <v>146</v>
      </c>
      <c r="H93" s="10">
        <f>5760/G93</f>
        <v>39.45205479452055</v>
      </c>
      <c r="J93" s="10">
        <f>373.242/G93</f>
        <v>2.5564520547945206</v>
      </c>
      <c r="K93" s="10">
        <f>J93*E93</f>
        <v>2.543137200342466</v>
      </c>
      <c r="L93" s="17">
        <f>(M93*12)+N93</f>
        <v>60</v>
      </c>
      <c r="M93" s="17">
        <v>5</v>
      </c>
      <c r="N93" s="8">
        <v>0</v>
      </c>
      <c r="O93" s="10">
        <f>(M93/20)+(N93/240)</f>
        <v>0.25</v>
      </c>
      <c r="Q93" s="10">
        <f>G93*O93</f>
        <v>36.5</v>
      </c>
      <c r="R93" s="10">
        <f>36+(10/20)</f>
        <v>36.5</v>
      </c>
      <c r="S93" s="10">
        <f>(1000/373.242/E93)*R93</f>
        <v>98.30378005808507</v>
      </c>
      <c r="T93" s="10">
        <f>240/L93*K93</f>
        <v>10.172548801369864</v>
      </c>
      <c r="U93" s="8">
        <f>(S93/$S$18)*100</f>
        <v>228.1250239426098</v>
      </c>
      <c r="W93" s="20">
        <v>8.979</v>
      </c>
      <c r="X93" s="10">
        <v>98.30378005808507</v>
      </c>
      <c r="Y93" s="10">
        <f>(X93/W93)</f>
        <v>10.948188000677701</v>
      </c>
      <c r="AE93" s="10"/>
    </row>
    <row r="94" ht="12.75">
      <c r="AE94" s="10"/>
    </row>
    <row r="95" spans="1:31" ht="12.75">
      <c r="A95" s="1" t="s">
        <v>71</v>
      </c>
      <c r="B95" t="s">
        <v>199</v>
      </c>
      <c r="C95" s="17">
        <v>22</v>
      </c>
      <c r="D95" s="8">
        <v>0</v>
      </c>
      <c r="E95" s="16">
        <f>(C95+D95/4)/24</f>
        <v>0.9166666666666666</v>
      </c>
      <c r="G95" s="10">
        <v>33.5</v>
      </c>
      <c r="H95" s="10">
        <f>5760/G95</f>
        <v>171.9402985074627</v>
      </c>
      <c r="J95" s="10">
        <f>373.242/G95</f>
        <v>11.141552238805971</v>
      </c>
      <c r="K95" s="10">
        <f>J95*E95</f>
        <v>10.213089552238806</v>
      </c>
      <c r="L95" s="17">
        <f>(M95*12)+N95</f>
        <v>240</v>
      </c>
      <c r="M95" s="17">
        <v>20</v>
      </c>
      <c r="N95" s="8">
        <v>0</v>
      </c>
      <c r="O95" s="10">
        <f>(M95/20)+(N95/240)</f>
        <v>1</v>
      </c>
      <c r="Q95" s="10">
        <f>G95*O95</f>
        <v>33.5</v>
      </c>
      <c r="R95" s="10">
        <f>33+(10/20)</f>
        <v>33.5</v>
      </c>
      <c r="S95" s="10">
        <f>(1000/373.242/E95)*R95</f>
        <v>97.91356424372</v>
      </c>
      <c r="T95" s="10">
        <f>240/L95*K95</f>
        <v>10.213089552238806</v>
      </c>
      <c r="U95" s="8">
        <f>(S95/$S$18)*100</f>
        <v>227.21948407484257</v>
      </c>
      <c r="W95" s="20">
        <v>8.979</v>
      </c>
      <c r="X95" s="10">
        <v>97.91356424372</v>
      </c>
      <c r="Y95" s="10">
        <f>(X95/W95)</f>
        <v>10.904729284298922</v>
      </c>
      <c r="AE95" s="10"/>
    </row>
    <row r="96" spans="1:31" ht="12.75">
      <c r="A96" s="1" t="s">
        <v>71</v>
      </c>
      <c r="B96" t="s">
        <v>107</v>
      </c>
      <c r="C96" s="17">
        <v>22</v>
      </c>
      <c r="D96" s="8">
        <v>0</v>
      </c>
      <c r="E96" s="16">
        <f>(C96+D96/4)/24</f>
        <v>0.9166666666666666</v>
      </c>
      <c r="G96" s="10">
        <v>67</v>
      </c>
      <c r="H96" s="10">
        <f>5760/G96</f>
        <v>85.97014925373135</v>
      </c>
      <c r="J96" s="10">
        <f>373.242/G96</f>
        <v>5.570776119402986</v>
      </c>
      <c r="K96" s="10">
        <f>J96*E96</f>
        <v>5.106544776119403</v>
      </c>
      <c r="L96" s="17">
        <f>(M96*12)+N96</f>
        <v>120</v>
      </c>
      <c r="M96" s="17">
        <v>10</v>
      </c>
      <c r="N96" s="8">
        <v>0</v>
      </c>
      <c r="O96" s="10">
        <f>(M96/20)+(N96/240)</f>
        <v>0.5</v>
      </c>
      <c r="Q96" s="10">
        <f>G96*O96</f>
        <v>33.5</v>
      </c>
      <c r="R96" s="10">
        <f>33+(10/20)</f>
        <v>33.5</v>
      </c>
      <c r="S96" s="10">
        <f>(1000/373.242/E96)*R96</f>
        <v>97.91356424372</v>
      </c>
      <c r="T96" s="10">
        <f>240/L96*K96</f>
        <v>10.213089552238806</v>
      </c>
      <c r="U96" s="8">
        <f>(S96/$S$18)*100</f>
        <v>227.21948407484257</v>
      </c>
      <c r="W96" s="20">
        <v>8.979</v>
      </c>
      <c r="X96" s="10">
        <v>97.91356424372</v>
      </c>
      <c r="Y96" s="10">
        <f>(X96/W96)</f>
        <v>10.904729284298922</v>
      </c>
      <c r="AE96" s="10"/>
    </row>
    <row r="97" spans="1:31" ht="12.75">
      <c r="A97" s="1" t="s">
        <v>71</v>
      </c>
      <c r="B97" t="s">
        <v>115</v>
      </c>
      <c r="C97" s="17">
        <v>22</v>
      </c>
      <c r="D97" s="8">
        <v>0</v>
      </c>
      <c r="E97" s="16">
        <f>(C97+D97/4)/24</f>
        <v>0.9166666666666666</v>
      </c>
      <c r="G97" s="10">
        <v>134</v>
      </c>
      <c r="H97" s="10">
        <f>5760/G97</f>
        <v>42.985074626865675</v>
      </c>
      <c r="J97" s="10">
        <f>373.242/G97</f>
        <v>2.785388059701493</v>
      </c>
      <c r="K97" s="10">
        <f>J97*E97</f>
        <v>2.5532723880597015</v>
      </c>
      <c r="L97" s="17">
        <f>(M97*12)+N97</f>
        <v>60</v>
      </c>
      <c r="M97" s="17">
        <v>5</v>
      </c>
      <c r="N97" s="8">
        <v>0</v>
      </c>
      <c r="O97" s="10">
        <f>(M97/20)+(N97/240)</f>
        <v>0.25</v>
      </c>
      <c r="Q97" s="10">
        <f>G97*O97</f>
        <v>33.5</v>
      </c>
      <c r="R97" s="10">
        <f>33+(10/20)</f>
        <v>33.5</v>
      </c>
      <c r="S97" s="10">
        <f>(1000/373.242/E97)*R97</f>
        <v>97.91356424372</v>
      </c>
      <c r="T97" s="10">
        <f>240/L97*K97</f>
        <v>10.213089552238806</v>
      </c>
      <c r="U97" s="8">
        <f>(S97/$S$18)*100</f>
        <v>227.21948407484257</v>
      </c>
      <c r="W97" s="20">
        <v>8.979</v>
      </c>
      <c r="X97" s="10">
        <v>97.91356424372</v>
      </c>
      <c r="Y97" s="10">
        <f>(X97/W97)</f>
        <v>10.904729284298922</v>
      </c>
      <c r="AE97" s="10"/>
    </row>
    <row r="98" ht="12.75">
      <c r="AE98" s="10"/>
    </row>
    <row r="99" spans="1:31" ht="12.75">
      <c r="A99" s="1" t="s">
        <v>74</v>
      </c>
      <c r="B99" t="s">
        <v>222</v>
      </c>
      <c r="C99" s="17">
        <v>22</v>
      </c>
      <c r="D99" s="8">
        <v>0</v>
      </c>
      <c r="E99" s="16">
        <f>(C99+D99/4)/24</f>
        <v>0.9166666666666666</v>
      </c>
      <c r="G99" s="10">
        <v>37.2</v>
      </c>
      <c r="H99" s="10">
        <f>5760/G99</f>
        <v>154.83870967741933</v>
      </c>
      <c r="J99" s="10">
        <f>373.242/G99</f>
        <v>10.033387096774193</v>
      </c>
      <c r="K99" s="10">
        <f>J99*E99</f>
        <v>9.197271505376344</v>
      </c>
      <c r="L99" s="17">
        <f>(M99*12)+N99</f>
        <v>240</v>
      </c>
      <c r="M99" s="17">
        <v>20</v>
      </c>
      <c r="N99" s="8">
        <v>0</v>
      </c>
      <c r="O99" s="10">
        <f>(M99/20)+(N99/240)</f>
        <v>1</v>
      </c>
      <c r="Q99" s="10">
        <f>G99*O99</f>
        <v>37.2</v>
      </c>
      <c r="R99" s="10">
        <f>37+(4/20)</f>
        <v>37.2</v>
      </c>
      <c r="S99" s="10">
        <f>(1000/373.242/E99)*R99</f>
        <v>108.7278982049667</v>
      </c>
      <c r="T99" s="10">
        <f>240/L99*K99</f>
        <v>9.197271505376344</v>
      </c>
      <c r="U99" s="8">
        <f>(S99/$S$18)*100</f>
        <v>252.3153673905715</v>
      </c>
      <c r="W99" s="20">
        <v>8.979</v>
      </c>
      <c r="X99" s="10">
        <v>108.7278982049667</v>
      </c>
      <c r="Y99" s="10">
        <f>(X99/W99)</f>
        <v>12.109132220176715</v>
      </c>
      <c r="AE99" s="10"/>
    </row>
    <row r="100" spans="1:31" ht="12.75">
      <c r="A100" s="1" t="s">
        <v>74</v>
      </c>
      <c r="B100" t="s">
        <v>120</v>
      </c>
      <c r="C100" s="17">
        <v>22</v>
      </c>
      <c r="D100" s="8">
        <v>0</v>
      </c>
      <c r="E100" s="16">
        <f>(C100+D100/4)/24</f>
        <v>0.9166666666666666</v>
      </c>
      <c r="G100" s="10">
        <v>74.4</v>
      </c>
      <c r="H100" s="10">
        <f>5760/G100</f>
        <v>77.41935483870967</v>
      </c>
      <c r="J100" s="10">
        <f>373.242/G100</f>
        <v>5.016693548387097</v>
      </c>
      <c r="K100" s="10">
        <f>J100*E100</f>
        <v>4.598635752688172</v>
      </c>
      <c r="L100" s="17">
        <f>(M100*12)+N100</f>
        <v>120</v>
      </c>
      <c r="M100" s="17">
        <v>10</v>
      </c>
      <c r="N100" s="8">
        <v>0</v>
      </c>
      <c r="O100" s="10">
        <f>(M100/20)+(N100/240)</f>
        <v>0.5</v>
      </c>
      <c r="Q100" s="10">
        <f>G100*O100</f>
        <v>37.2</v>
      </c>
      <c r="R100" s="10">
        <f>37+(4/20)</f>
        <v>37.2</v>
      </c>
      <c r="S100" s="10">
        <f>(1000/373.242/E100)*R100</f>
        <v>108.7278982049667</v>
      </c>
      <c r="T100" s="10">
        <f>240/L100*K100</f>
        <v>9.197271505376344</v>
      </c>
      <c r="U100" s="8">
        <f>(S100/$S$18)*100</f>
        <v>252.3153673905715</v>
      </c>
      <c r="W100" s="20">
        <v>8.979</v>
      </c>
      <c r="X100" s="10">
        <v>108.7278982049667</v>
      </c>
      <c r="Y100" s="10">
        <f>(X100/W100)</f>
        <v>12.109132220176715</v>
      </c>
      <c r="AE100" s="10"/>
    </row>
    <row r="101" spans="1:31" ht="12.75">
      <c r="A101" s="1" t="s">
        <v>74</v>
      </c>
      <c r="B101" t="s">
        <v>115</v>
      </c>
      <c r="C101" s="17">
        <v>22</v>
      </c>
      <c r="D101" s="8">
        <v>0</v>
      </c>
      <c r="E101" s="16">
        <f>(C101+D101/4)/24</f>
        <v>0.9166666666666666</v>
      </c>
      <c r="G101" s="10">
        <v>148.8</v>
      </c>
      <c r="H101" s="10">
        <f>5760/G101</f>
        <v>38.70967741935483</v>
      </c>
      <c r="J101" s="10">
        <f>373.242/G101</f>
        <v>2.5083467741935483</v>
      </c>
      <c r="K101" s="10">
        <f>J101*E101</f>
        <v>2.299317876344086</v>
      </c>
      <c r="L101" s="17">
        <f>(M101*12)+N101</f>
        <v>60</v>
      </c>
      <c r="M101" s="17">
        <v>5</v>
      </c>
      <c r="N101" s="8">
        <v>0</v>
      </c>
      <c r="O101" s="10">
        <f>(M101/20)+(N101/240)</f>
        <v>0.25</v>
      </c>
      <c r="Q101" s="10">
        <f>G101*O101</f>
        <v>37.2</v>
      </c>
      <c r="R101" s="10">
        <f>37+(4/20)</f>
        <v>37.2</v>
      </c>
      <c r="S101" s="10">
        <f>(1000/373.242/E101)*R101</f>
        <v>108.7278982049667</v>
      </c>
      <c r="T101" s="10">
        <f>240/L101*K101</f>
        <v>9.197271505376344</v>
      </c>
      <c r="U101" s="8">
        <f>(S101/$S$18)*100</f>
        <v>252.3153673905715</v>
      </c>
      <c r="W101" s="20">
        <v>8.979</v>
      </c>
      <c r="X101" s="10">
        <v>108.7278982049667</v>
      </c>
      <c r="Y101" s="10">
        <f>(X101/W101)</f>
        <v>12.109132220176715</v>
      </c>
      <c r="AE101" s="10"/>
    </row>
    <row r="102" spans="1:31" ht="12.75">
      <c r="A102" s="1" t="s">
        <v>74</v>
      </c>
      <c r="B102" t="s">
        <v>210</v>
      </c>
      <c r="C102" s="17">
        <v>22</v>
      </c>
      <c r="D102" s="8">
        <v>0</v>
      </c>
      <c r="E102" s="16">
        <f>(C102+D102/4)/24</f>
        <v>0.9166666666666666</v>
      </c>
      <c r="G102" s="10">
        <v>186</v>
      </c>
      <c r="H102" s="10">
        <f>5760/G102</f>
        <v>30.967741935483872</v>
      </c>
      <c r="J102" s="10">
        <f>373.242/G102</f>
        <v>2.0066774193548387</v>
      </c>
      <c r="K102" s="10">
        <f>J102*E102</f>
        <v>1.8394543010752686</v>
      </c>
      <c r="L102" s="17">
        <f>(M102*12)+N102</f>
        <v>48</v>
      </c>
      <c r="M102" s="17">
        <v>4</v>
      </c>
      <c r="N102" s="8">
        <v>0</v>
      </c>
      <c r="O102" s="10">
        <f>(M102/20)+(N102/240)</f>
        <v>0.2</v>
      </c>
      <c r="Q102" s="10">
        <f>G102*O102</f>
        <v>37.2</v>
      </c>
      <c r="R102" s="10">
        <f>37+(4/20)</f>
        <v>37.2</v>
      </c>
      <c r="S102" s="10">
        <f>(1000/373.242/E102)*R102</f>
        <v>108.7278982049667</v>
      </c>
      <c r="T102" s="10">
        <f>240/L102*K102</f>
        <v>9.197271505376342</v>
      </c>
      <c r="U102" s="8">
        <f>(S102/$S$18)*100</f>
        <v>252.3153673905715</v>
      </c>
      <c r="W102" s="20">
        <v>8.979</v>
      </c>
      <c r="X102" s="10">
        <v>108.7278982049667</v>
      </c>
      <c r="Y102" s="10">
        <f>(X102/W102)</f>
        <v>12.109132220176715</v>
      </c>
      <c r="AE102" s="10"/>
    </row>
    <row r="103" ht="12.75">
      <c r="AE103" s="10"/>
    </row>
    <row r="104" spans="1:31" ht="12.75">
      <c r="A104" s="1" t="s">
        <v>75</v>
      </c>
      <c r="B104" t="s">
        <v>191</v>
      </c>
      <c r="C104" s="17">
        <v>23</v>
      </c>
      <c r="D104" s="8">
        <v>3.5</v>
      </c>
      <c r="E104" s="16">
        <f>(C104+D104/4)/24</f>
        <v>0.9947916666666666</v>
      </c>
      <c r="G104" s="10">
        <v>27</v>
      </c>
      <c r="H104" s="10">
        <f>5760/G104</f>
        <v>213.33333333333334</v>
      </c>
      <c r="J104" s="10">
        <f>373.242/G104</f>
        <v>13.823777777777778</v>
      </c>
      <c r="K104" s="10">
        <f>J104*E104</f>
        <v>13.751778935185184</v>
      </c>
      <c r="L104" s="17">
        <f>(M104*12)+N104</f>
        <v>360</v>
      </c>
      <c r="M104" s="17">
        <v>30</v>
      </c>
      <c r="N104" s="8">
        <v>0</v>
      </c>
      <c r="O104" s="10">
        <f>(M104/20)+(N104/240)</f>
        <v>1.5</v>
      </c>
      <c r="Q104" s="10">
        <f>G104*O104</f>
        <v>40.5</v>
      </c>
      <c r="R104" s="10">
        <f>40+(10/20)</f>
        <v>40.5</v>
      </c>
      <c r="S104" s="10">
        <f>(1000/373.242/E104)*R104</f>
        <v>109.07679705075194</v>
      </c>
      <c r="T104" s="10">
        <f>240/L104*K104</f>
        <v>9.167852623456788</v>
      </c>
      <c r="U104" s="8">
        <f>(S104/$S$18)*100</f>
        <v>253.12502656645748</v>
      </c>
      <c r="W104" s="20">
        <v>8.979</v>
      </c>
      <c r="X104" s="10">
        <v>109.07679705075194</v>
      </c>
      <c r="Y104" s="10">
        <f>(X104/W104)</f>
        <v>12.147989425409506</v>
      </c>
      <c r="AE104" s="10"/>
    </row>
    <row r="105" spans="1:31" ht="12.75">
      <c r="A105" s="1" t="s">
        <v>75</v>
      </c>
      <c r="B105" t="s">
        <v>201</v>
      </c>
      <c r="C105" s="17">
        <v>23</v>
      </c>
      <c r="D105" s="8">
        <v>3.5</v>
      </c>
      <c r="E105" s="16">
        <f>(C105+D105/4)/24</f>
        <v>0.9947916666666666</v>
      </c>
      <c r="G105" s="10">
        <v>54</v>
      </c>
      <c r="H105" s="10">
        <f>5760/G105</f>
        <v>106.66666666666667</v>
      </c>
      <c r="J105" s="10">
        <f>373.242/G105</f>
        <v>6.911888888888889</v>
      </c>
      <c r="K105" s="10">
        <f>J105*E105</f>
        <v>6.875889467592592</v>
      </c>
      <c r="L105" s="17">
        <f>(M105*12)+N105</f>
        <v>180</v>
      </c>
      <c r="M105" s="17">
        <v>15</v>
      </c>
      <c r="N105" s="8">
        <v>0</v>
      </c>
      <c r="O105" s="10">
        <f>(M105/20)+(N105/240)</f>
        <v>0.75</v>
      </c>
      <c r="Q105" s="10">
        <f>G105*O105</f>
        <v>40.5</v>
      </c>
      <c r="R105" s="10">
        <f>40+(10/20)</f>
        <v>40.5</v>
      </c>
      <c r="S105" s="10">
        <f>(1000/373.242/E105)*R105</f>
        <v>109.07679705075194</v>
      </c>
      <c r="T105" s="10">
        <f>240/L105*K105</f>
        <v>9.167852623456788</v>
      </c>
      <c r="U105" s="8">
        <f>(S105/$S$18)*100</f>
        <v>253.12502656645748</v>
      </c>
      <c r="W105" s="20">
        <v>8.979</v>
      </c>
      <c r="X105" s="10">
        <v>109.07679705075194</v>
      </c>
      <c r="Y105" s="10">
        <f>(X105/W105)</f>
        <v>12.147989425409506</v>
      </c>
      <c r="AE105" s="10"/>
    </row>
    <row r="106" spans="1:31" ht="12.75">
      <c r="A106" s="1" t="s">
        <v>75</v>
      </c>
      <c r="B106" t="s">
        <v>107</v>
      </c>
      <c r="C106" s="17">
        <v>23</v>
      </c>
      <c r="D106" s="8">
        <v>3.5</v>
      </c>
      <c r="E106" s="16">
        <f>(C106+D106/4)/24</f>
        <v>0.9947916666666666</v>
      </c>
      <c r="G106" s="10">
        <v>81</v>
      </c>
      <c r="H106" s="10">
        <f>5760/G106</f>
        <v>71.11111111111111</v>
      </c>
      <c r="J106" s="10">
        <f>373.242/G106</f>
        <v>4.607925925925926</v>
      </c>
      <c r="K106" s="10">
        <f>J106*E106</f>
        <v>4.583926311728395</v>
      </c>
      <c r="L106" s="17">
        <f>(M106*12)+N106</f>
        <v>120</v>
      </c>
      <c r="M106" s="17">
        <v>10</v>
      </c>
      <c r="N106" s="8">
        <v>0</v>
      </c>
      <c r="O106" s="10">
        <f>(M106/20)+(N106/240)</f>
        <v>0.5</v>
      </c>
      <c r="Q106" s="10">
        <f>G106*O106</f>
        <v>40.5</v>
      </c>
      <c r="R106" s="10">
        <f>40+(10/20)</f>
        <v>40.5</v>
      </c>
      <c r="S106" s="10">
        <f>(1000/373.242/E106)*R106</f>
        <v>109.07679705075194</v>
      </c>
      <c r="T106" s="10">
        <f>240/L106*K106</f>
        <v>9.16785262345679</v>
      </c>
      <c r="U106" s="8">
        <f>(S106/$S$18)*100</f>
        <v>253.12502656645748</v>
      </c>
      <c r="W106" s="20">
        <v>8.979</v>
      </c>
      <c r="X106" s="10">
        <v>109.07679705075194</v>
      </c>
      <c r="Y106" s="10">
        <f>(X106/W106)</f>
        <v>12.147989425409506</v>
      </c>
      <c r="AE106" s="10"/>
    </row>
    <row r="107" ht="12.75">
      <c r="AE107" s="10"/>
    </row>
    <row r="108" spans="1:31" ht="12.75">
      <c r="A108" s="1" t="s">
        <v>76</v>
      </c>
      <c r="B108" t="s">
        <v>191</v>
      </c>
      <c r="C108" s="17">
        <v>23</v>
      </c>
      <c r="D108" s="8">
        <v>3.5</v>
      </c>
      <c r="E108" s="16">
        <f>(C108+D108/4)/24</f>
        <v>0.9947916666666666</v>
      </c>
      <c r="G108" s="10">
        <v>27</v>
      </c>
      <c r="H108" s="10">
        <f>5760/G108</f>
        <v>213.33333333333334</v>
      </c>
      <c r="J108" s="10">
        <f>373.242/G108</f>
        <v>13.823777777777778</v>
      </c>
      <c r="K108" s="10">
        <f>J108*E108</f>
        <v>13.751778935185184</v>
      </c>
      <c r="L108" s="17">
        <f>(M108*12)+N108</f>
        <v>396</v>
      </c>
      <c r="M108" s="17">
        <v>33</v>
      </c>
      <c r="N108" s="8">
        <v>0</v>
      </c>
      <c r="O108" s="10">
        <f>(M108/20)+(N108/240)</f>
        <v>1.65</v>
      </c>
      <c r="Q108" s="10">
        <f>G108*O108</f>
        <v>44.55</v>
      </c>
      <c r="R108" s="10">
        <f>44+(11/20)</f>
        <v>44.55</v>
      </c>
      <c r="S108" s="10">
        <f>(1000/373.242/E108)*R108</f>
        <v>119.98447675582712</v>
      </c>
      <c r="T108" s="10">
        <f>240/L108*K108</f>
        <v>8.334411475869809</v>
      </c>
      <c r="U108" s="8">
        <f>(S108/$S$18)*100</f>
        <v>278.4375292231032</v>
      </c>
      <c r="W108" s="20">
        <v>8.979</v>
      </c>
      <c r="X108" s="10">
        <v>119.98447675582712</v>
      </c>
      <c r="Y108" s="10">
        <f>(X108/W108)</f>
        <v>13.362788367950454</v>
      </c>
      <c r="AE108" s="10"/>
    </row>
    <row r="109" spans="1:31" ht="12.75">
      <c r="A109" s="1" t="s">
        <v>76</v>
      </c>
      <c r="B109" t="s">
        <v>201</v>
      </c>
      <c r="C109" s="17">
        <v>23</v>
      </c>
      <c r="D109" s="8">
        <v>3.5</v>
      </c>
      <c r="E109" s="16">
        <f>(C109+D109/4)/24</f>
        <v>0.9947916666666666</v>
      </c>
      <c r="G109" s="10">
        <v>53.99999999999999</v>
      </c>
      <c r="H109" s="10">
        <f>5760/G109</f>
        <v>106.66666666666669</v>
      </c>
      <c r="J109" s="10">
        <f>373.242/G109</f>
        <v>6.91188888888889</v>
      </c>
      <c r="K109" s="10">
        <f>J109*E109</f>
        <v>6.875889467592593</v>
      </c>
      <c r="L109" s="17">
        <f>(M109*12)+N109</f>
        <v>198</v>
      </c>
      <c r="M109" s="17">
        <v>16</v>
      </c>
      <c r="N109" s="8">
        <v>6</v>
      </c>
      <c r="O109" s="10">
        <f>(M109/20)+(N109/240)</f>
        <v>0.8250000000000001</v>
      </c>
      <c r="Q109" s="10">
        <f>G109*O109</f>
        <v>44.55</v>
      </c>
      <c r="R109" s="10">
        <f>44+(11/20)</f>
        <v>44.55</v>
      </c>
      <c r="S109" s="10">
        <f>(1000/373.242/E109)*R109</f>
        <v>119.98447675582712</v>
      </c>
      <c r="T109" s="10">
        <f>240/L109*K109</f>
        <v>8.33441147586981</v>
      </c>
      <c r="U109" s="8">
        <f>(S109/$S$18)*100</f>
        <v>278.4375292231032</v>
      </c>
      <c r="W109" s="20">
        <v>8.979</v>
      </c>
      <c r="X109" s="10">
        <v>119.98447675582712</v>
      </c>
      <c r="Y109" s="10">
        <f>(X109/W109)</f>
        <v>13.362788367950454</v>
      </c>
      <c r="AE109" s="10"/>
    </row>
    <row r="110" spans="1:31" ht="12.75">
      <c r="A110" s="1" t="s">
        <v>76</v>
      </c>
      <c r="B110" t="s">
        <v>107</v>
      </c>
      <c r="C110" s="17">
        <v>23</v>
      </c>
      <c r="D110" s="8">
        <v>3.5</v>
      </c>
      <c r="E110" s="16">
        <f>(C110+D110/4)/24</f>
        <v>0.9947916666666666</v>
      </c>
      <c r="G110" s="10">
        <v>80.99999999999999</v>
      </c>
      <c r="H110" s="10">
        <f>5760/G110</f>
        <v>71.11111111111113</v>
      </c>
      <c r="J110" s="10">
        <f>373.242/G110</f>
        <v>4.607925925925927</v>
      </c>
      <c r="K110" s="10">
        <f>J110*E110</f>
        <v>4.583926311728396</v>
      </c>
      <c r="L110" s="17">
        <f>(M110*12)+N110</f>
        <v>132</v>
      </c>
      <c r="M110" s="17">
        <v>11</v>
      </c>
      <c r="N110" s="8">
        <v>0</v>
      </c>
      <c r="O110" s="10">
        <f>(M110/20)+(N110/240)</f>
        <v>0.55</v>
      </c>
      <c r="Q110" s="10">
        <f>G110*O110</f>
        <v>44.55</v>
      </c>
      <c r="R110" s="10">
        <f>44+(11/20)</f>
        <v>44.55</v>
      </c>
      <c r="S110" s="10">
        <f>(1000/373.242/E110)*R110</f>
        <v>119.98447675582712</v>
      </c>
      <c r="T110" s="10">
        <f>240/L110*K110</f>
        <v>8.33441147586981</v>
      </c>
      <c r="U110" s="8">
        <f>(S110/$S$18)*100</f>
        <v>278.4375292231032</v>
      </c>
      <c r="W110" s="20">
        <v>8.979</v>
      </c>
      <c r="X110" s="10">
        <v>119.98447675582712</v>
      </c>
      <c r="Y110" s="10">
        <f>(X110/W110)</f>
        <v>13.362788367950454</v>
      </c>
      <c r="AE110" s="10"/>
    </row>
    <row r="111" spans="1:31" ht="12.75">
      <c r="A111" s="1" t="s">
        <v>76</v>
      </c>
      <c r="B111" t="s">
        <v>115</v>
      </c>
      <c r="C111" s="17">
        <v>23</v>
      </c>
      <c r="D111" s="8">
        <v>3.5</v>
      </c>
      <c r="E111" s="16">
        <f>(C111+D111/4)/24</f>
        <v>0.9947916666666666</v>
      </c>
      <c r="G111" s="10">
        <v>161.99999999999997</v>
      </c>
      <c r="H111" s="10">
        <f>5760/G111</f>
        <v>35.555555555555564</v>
      </c>
      <c r="J111" s="10">
        <f>373.242/G111</f>
        <v>2.3039629629629634</v>
      </c>
      <c r="K111" s="10">
        <f>J111*E111</f>
        <v>2.291963155864198</v>
      </c>
      <c r="L111" s="17">
        <f>(M111*12)+N111</f>
        <v>66</v>
      </c>
      <c r="M111" s="17">
        <v>5</v>
      </c>
      <c r="N111" s="8">
        <v>6</v>
      </c>
      <c r="O111" s="10">
        <f>(M111/20)+(N111/240)</f>
        <v>0.275</v>
      </c>
      <c r="Q111" s="10">
        <f>G111*O111</f>
        <v>44.55</v>
      </c>
      <c r="R111" s="10">
        <f>44+(11/20)</f>
        <v>44.55</v>
      </c>
      <c r="S111" s="10">
        <f>(1000/373.242/E111)*R111</f>
        <v>119.98447675582712</v>
      </c>
      <c r="T111" s="10">
        <f>240/L111*K111</f>
        <v>8.33441147586981</v>
      </c>
      <c r="U111" s="8">
        <f>(S111/$S$18)*100</f>
        <v>278.4375292231032</v>
      </c>
      <c r="W111" s="20">
        <v>8.979</v>
      </c>
      <c r="X111" s="10">
        <v>119.98447675582712</v>
      </c>
      <c r="Y111" s="10">
        <f>(X111/W111)</f>
        <v>13.362788367950454</v>
      </c>
      <c r="AE111" s="10"/>
    </row>
    <row r="112" ht="12.75">
      <c r="AE112" s="10"/>
    </row>
    <row r="113" spans="1:31" ht="12.75">
      <c r="A113" s="1" t="s">
        <v>76</v>
      </c>
      <c r="B113" t="s">
        <v>222</v>
      </c>
      <c r="C113" s="17">
        <v>22</v>
      </c>
      <c r="D113" s="8">
        <v>0</v>
      </c>
      <c r="E113" s="16">
        <f>(C113+D113/4)/24</f>
        <v>0.9166666666666666</v>
      </c>
      <c r="G113" s="10">
        <v>37.18181818181818</v>
      </c>
      <c r="H113" s="10">
        <f>5760/G113</f>
        <v>154.91442542787286</v>
      </c>
      <c r="J113" s="10">
        <f>373.242/G113</f>
        <v>10.038293398533009</v>
      </c>
      <c r="K113" s="10">
        <f>J113*E113</f>
        <v>9.201768948655257</v>
      </c>
      <c r="L113" s="17">
        <f>(M113*12)+N113</f>
        <v>264</v>
      </c>
      <c r="M113" s="17">
        <v>22</v>
      </c>
      <c r="N113" s="8">
        <v>0</v>
      </c>
      <c r="O113" s="10">
        <f>(M113/20)+(N113/240)</f>
        <v>1.1</v>
      </c>
      <c r="Q113" s="10">
        <f>G113*O113</f>
        <v>40.9</v>
      </c>
      <c r="R113" s="10">
        <f>40+(18/20)</f>
        <v>40.9</v>
      </c>
      <c r="S113" s="10">
        <f>(1000/373.242/E113)*R113</f>
        <v>119.54223216621338</v>
      </c>
      <c r="T113" s="10">
        <f>240/L113*K113</f>
        <v>8.365244498777505</v>
      </c>
      <c r="U113" s="8">
        <f>(S113/$S$18)*100</f>
        <v>277.4112507063004</v>
      </c>
      <c r="W113" s="20">
        <v>8.979</v>
      </c>
      <c r="X113" s="10">
        <v>119.54223216621338</v>
      </c>
      <c r="Y113" s="10">
        <f>(X113/W113)</f>
        <v>13.313535156054504</v>
      </c>
      <c r="AE113" s="10"/>
    </row>
    <row r="114" spans="1:31" ht="12.75">
      <c r="A114" s="1" t="s">
        <v>76</v>
      </c>
      <c r="B114" t="s">
        <v>120</v>
      </c>
      <c r="C114" s="17">
        <v>22</v>
      </c>
      <c r="D114" s="8">
        <v>0</v>
      </c>
      <c r="E114" s="16">
        <f>(C114+D114/4)/24</f>
        <v>0.9166666666666666</v>
      </c>
      <c r="G114" s="10">
        <v>74.36363636363636</v>
      </c>
      <c r="H114" s="10">
        <f>5760/G114</f>
        <v>77.45721271393643</v>
      </c>
      <c r="J114" s="10">
        <f>373.242/G114</f>
        <v>5.019146699266504</v>
      </c>
      <c r="K114" s="10">
        <f>J114*E114</f>
        <v>4.6008844743276285</v>
      </c>
      <c r="L114" s="17">
        <f>(M114*12)+N114</f>
        <v>132</v>
      </c>
      <c r="M114" s="17">
        <v>11</v>
      </c>
      <c r="N114" s="8">
        <v>0</v>
      </c>
      <c r="O114" s="10">
        <f>(M114/20)+(N114/240)</f>
        <v>0.55</v>
      </c>
      <c r="Q114" s="10">
        <f>G114*O114</f>
        <v>40.9</v>
      </c>
      <c r="R114" s="10">
        <f>40+(18/20)</f>
        <v>40.9</v>
      </c>
      <c r="S114" s="10">
        <f>(1000/373.242/E114)*R114</f>
        <v>119.54223216621338</v>
      </c>
      <c r="T114" s="10">
        <f>240/L114*K114</f>
        <v>8.365244498777505</v>
      </c>
      <c r="U114" s="8">
        <f>(S114/$S$18)*100</f>
        <v>277.4112507063004</v>
      </c>
      <c r="W114" s="20">
        <v>8.979</v>
      </c>
      <c r="X114" s="10">
        <v>119.54223216621338</v>
      </c>
      <c r="Y114" s="10">
        <f>(X114/W114)</f>
        <v>13.313535156054504</v>
      </c>
      <c r="AE114" s="10"/>
    </row>
    <row r="115" spans="1:31" ht="12.75">
      <c r="A115" s="1" t="s">
        <v>76</v>
      </c>
      <c r="B115" t="s">
        <v>115</v>
      </c>
      <c r="C115" s="17">
        <v>22</v>
      </c>
      <c r="D115" s="8">
        <v>0</v>
      </c>
      <c r="E115" s="16">
        <f>(C115+D115/4)/24</f>
        <v>0.9166666666666666</v>
      </c>
      <c r="G115" s="10">
        <v>148.72727272727272</v>
      </c>
      <c r="H115" s="10">
        <f>5760/G115</f>
        <v>38.728606356968214</v>
      </c>
      <c r="J115" s="10">
        <f>373.242/G115</f>
        <v>2.509573349633252</v>
      </c>
      <c r="K115" s="10">
        <f>J115*E115</f>
        <v>2.3004422371638142</v>
      </c>
      <c r="L115" s="17">
        <f>(M115*12)+N115</f>
        <v>66</v>
      </c>
      <c r="M115" s="17">
        <v>5</v>
      </c>
      <c r="N115" s="8">
        <v>6</v>
      </c>
      <c r="O115" s="10">
        <f>(M115/20)+(N115/240)</f>
        <v>0.275</v>
      </c>
      <c r="Q115" s="10">
        <f>G115*O115</f>
        <v>40.9</v>
      </c>
      <c r="R115" s="10">
        <f>40+(18/20)</f>
        <v>40.9</v>
      </c>
      <c r="S115" s="10">
        <f>(1000/373.242/E115)*R115</f>
        <v>119.54223216621338</v>
      </c>
      <c r="T115" s="10">
        <f>240/L115*K115</f>
        <v>8.365244498777505</v>
      </c>
      <c r="U115" s="8">
        <f>(S115/$S$18)*100</f>
        <v>277.4112507063004</v>
      </c>
      <c r="W115" s="20">
        <v>8.979</v>
      </c>
      <c r="X115" s="10">
        <v>119.54223216621338</v>
      </c>
      <c r="Y115" s="10">
        <f>(X115/W115)</f>
        <v>13.313535156054504</v>
      </c>
      <c r="AE115" s="10"/>
    </row>
    <row r="116" spans="1:31" ht="12.75">
      <c r="A116" s="1" t="s">
        <v>76</v>
      </c>
      <c r="B116" t="s">
        <v>210</v>
      </c>
      <c r="C116" s="17">
        <v>22</v>
      </c>
      <c r="D116" s="8">
        <v>0</v>
      </c>
      <c r="E116" s="16">
        <f>(C116+D116/4)/24</f>
        <v>0.9166666666666666</v>
      </c>
      <c r="G116" s="10">
        <v>186.08530805687204</v>
      </c>
      <c r="H116" s="10">
        <f>5760/G116</f>
        <v>30.95354523227384</v>
      </c>
      <c r="J116" s="10">
        <f>373.242/G116</f>
        <v>2.0057574877750612</v>
      </c>
      <c r="K116" s="10">
        <f>J116*E116</f>
        <v>1.8386110304604728</v>
      </c>
      <c r="L116" s="17">
        <f>(M116*12)+N116</f>
        <v>52.75</v>
      </c>
      <c r="M116" s="17">
        <v>4</v>
      </c>
      <c r="N116" s="8">
        <v>4.75</v>
      </c>
      <c r="O116" s="10">
        <f>(M116/20)+(N116/240)</f>
        <v>0.21979166666666666</v>
      </c>
      <c r="Q116" s="10">
        <f>G116*O116</f>
        <v>40.9</v>
      </c>
      <c r="R116" s="10">
        <f>40+(18/20)</f>
        <v>40.9</v>
      </c>
      <c r="S116" s="10">
        <f>(1000/373.242/E116)*R116</f>
        <v>119.54223216621338</v>
      </c>
      <c r="T116" s="10">
        <f>240/L116*K116</f>
        <v>8.365244498777507</v>
      </c>
      <c r="U116" s="8">
        <f>(S116/$S$18)*100</f>
        <v>277.4112507063004</v>
      </c>
      <c r="W116" s="20">
        <v>8.979</v>
      </c>
      <c r="X116" s="10">
        <v>119.54223216621338</v>
      </c>
      <c r="Y116" s="10">
        <f>(X116/W116)</f>
        <v>13.313535156054504</v>
      </c>
      <c r="AE116" s="10"/>
    </row>
    <row r="117" ht="12.75">
      <c r="AE117" s="10"/>
    </row>
    <row r="118" spans="1:31" ht="12.75">
      <c r="A118" s="1" t="s">
        <v>77</v>
      </c>
      <c r="B118" t="s">
        <v>191</v>
      </c>
      <c r="C118" s="17">
        <v>23</v>
      </c>
      <c r="D118" s="8">
        <v>3.5</v>
      </c>
      <c r="E118" s="16">
        <f>(C118+D118/4)/24</f>
        <v>0.9947916666666666</v>
      </c>
      <c r="G118" s="10">
        <v>29.666666666666668</v>
      </c>
      <c r="H118" s="10">
        <f>5760/G118</f>
        <v>194.1573033707865</v>
      </c>
      <c r="J118" s="10">
        <f>373.242/G118</f>
        <v>12.581191011235955</v>
      </c>
      <c r="K118" s="10">
        <f>J118*E118</f>
        <v>12.5156639747191</v>
      </c>
      <c r="L118" s="17">
        <f>(M118*12)+N118</f>
        <v>360</v>
      </c>
      <c r="M118" s="17">
        <v>30</v>
      </c>
      <c r="N118" s="8">
        <v>0</v>
      </c>
      <c r="O118" s="10">
        <f>(M118/20)+(N118/240)</f>
        <v>1.5</v>
      </c>
      <c r="Q118" s="10">
        <f>G118*O118</f>
        <v>44.5</v>
      </c>
      <c r="R118" s="10">
        <f>44+(10/20)</f>
        <v>44.5</v>
      </c>
      <c r="S118" s="10">
        <f>(1000/373.242/E118)*R118</f>
        <v>119.84981404341879</v>
      </c>
      <c r="T118" s="10">
        <f>240/L118*K118</f>
        <v>8.343775983146067</v>
      </c>
      <c r="U118" s="8">
        <f>(S118/$S$18)*100</f>
        <v>278.1250291903051</v>
      </c>
      <c r="W118" s="20">
        <v>8.979</v>
      </c>
      <c r="X118" s="10">
        <v>119.84981404341879</v>
      </c>
      <c r="Y118" s="10">
        <f>(X118/W118)</f>
        <v>13.347790850141308</v>
      </c>
      <c r="AE118" s="10"/>
    </row>
    <row r="119" spans="1:31" ht="12.75">
      <c r="A119" s="1" t="s">
        <v>77</v>
      </c>
      <c r="B119" t="s">
        <v>201</v>
      </c>
      <c r="C119" s="17">
        <v>23</v>
      </c>
      <c r="D119" s="8">
        <v>3.5</v>
      </c>
      <c r="E119" s="16">
        <f>(C119+D119/4)/24</f>
        <v>0.9947916666666666</v>
      </c>
      <c r="G119" s="10">
        <v>59.333333333333336</v>
      </c>
      <c r="H119" s="10">
        <f>5760/G119</f>
        <v>97.07865168539325</v>
      </c>
      <c r="J119" s="10">
        <f>373.242/G119</f>
        <v>6.290595505617977</v>
      </c>
      <c r="K119" s="10">
        <f>J119*E119</f>
        <v>6.25783198735955</v>
      </c>
      <c r="L119" s="17">
        <f>(M119*12)+N119</f>
        <v>180</v>
      </c>
      <c r="M119" s="17">
        <v>15</v>
      </c>
      <c r="N119" s="8">
        <v>0</v>
      </c>
      <c r="O119" s="10">
        <f>(M119/20)+(N119/240)</f>
        <v>0.75</v>
      </c>
      <c r="Q119" s="10">
        <f>G119*O119</f>
        <v>44.5</v>
      </c>
      <c r="R119" s="10">
        <f>44+(10/20)</f>
        <v>44.5</v>
      </c>
      <c r="S119" s="10">
        <f>(1000/373.242/E119)*R119</f>
        <v>119.84981404341879</v>
      </c>
      <c r="T119" s="10">
        <f>240/L119*K119</f>
        <v>8.343775983146067</v>
      </c>
      <c r="U119" s="8">
        <f>(S119/$S$18)*100</f>
        <v>278.1250291903051</v>
      </c>
      <c r="W119" s="20">
        <v>8.979</v>
      </c>
      <c r="X119" s="10">
        <v>119.84981404341879</v>
      </c>
      <c r="Y119" s="10">
        <f>(X119/W119)</f>
        <v>13.347790850141308</v>
      </c>
      <c r="AE119" s="10"/>
    </row>
    <row r="120" spans="1:31" ht="12.75">
      <c r="A120" s="1" t="s">
        <v>77</v>
      </c>
      <c r="B120" t="s">
        <v>107</v>
      </c>
      <c r="C120" s="17">
        <v>23</v>
      </c>
      <c r="D120" s="8">
        <v>3.5</v>
      </c>
      <c r="E120" s="16">
        <f>(C120+D120/4)/24</f>
        <v>0.9947916666666666</v>
      </c>
      <c r="G120" s="10">
        <v>89</v>
      </c>
      <c r="H120" s="10">
        <f>5760/G120</f>
        <v>64.71910112359551</v>
      </c>
      <c r="J120" s="10">
        <f>373.242/G120</f>
        <v>4.193730337078652</v>
      </c>
      <c r="K120" s="10">
        <f>J120*E120</f>
        <v>4.171887991573033</v>
      </c>
      <c r="L120" s="17">
        <f>(M120*12)+N120</f>
        <v>120</v>
      </c>
      <c r="M120" s="17">
        <v>10</v>
      </c>
      <c r="N120" s="8">
        <v>0</v>
      </c>
      <c r="O120" s="10">
        <f>(M120/20)+(N120/240)</f>
        <v>0.5</v>
      </c>
      <c r="Q120" s="10">
        <f>G120*O120</f>
        <v>44.5</v>
      </c>
      <c r="R120" s="10">
        <f>44+(10/20)</f>
        <v>44.5</v>
      </c>
      <c r="S120" s="10">
        <f>(1000/373.242/E120)*R120</f>
        <v>119.84981404341879</v>
      </c>
      <c r="T120" s="10">
        <f>240/L120*K120</f>
        <v>8.343775983146067</v>
      </c>
      <c r="U120" s="8">
        <f>(S120/$S$18)*100</f>
        <v>278.1250291903051</v>
      </c>
      <c r="W120" s="20">
        <v>8.979</v>
      </c>
      <c r="X120" s="10">
        <v>119.84981404341879</v>
      </c>
      <c r="Y120" s="10">
        <f>(X120/W120)</f>
        <v>13.347790850141308</v>
      </c>
      <c r="AE120" s="10"/>
    </row>
    <row r="121" ht="12.75">
      <c r="AE121" s="10"/>
    </row>
    <row r="122" spans="1:31" ht="12.75">
      <c r="A122" s="1" t="s">
        <v>77</v>
      </c>
      <c r="B122" t="s">
        <v>222</v>
      </c>
      <c r="C122" s="17">
        <v>22</v>
      </c>
      <c r="D122" s="8">
        <v>0</v>
      </c>
      <c r="E122" s="16">
        <f>(C122+D122/4)/24</f>
        <v>0.9166666666666666</v>
      </c>
      <c r="G122" s="10">
        <v>41</v>
      </c>
      <c r="H122" s="10">
        <f>5760/G122</f>
        <v>140.4878048780488</v>
      </c>
      <c r="J122" s="10">
        <f>373.242/G122</f>
        <v>9.103463414634147</v>
      </c>
      <c r="K122" s="10">
        <f>J122*E122</f>
        <v>8.344841463414635</v>
      </c>
      <c r="L122" s="17">
        <f>(M122*12)+N122</f>
        <v>240</v>
      </c>
      <c r="M122" s="17">
        <v>20</v>
      </c>
      <c r="N122" s="8">
        <v>0</v>
      </c>
      <c r="O122" s="10">
        <f>(M122/20)+(N122/240)</f>
        <v>1</v>
      </c>
      <c r="Q122" s="10">
        <f>G122*O122</f>
        <v>41</v>
      </c>
      <c r="R122" s="10">
        <v>41</v>
      </c>
      <c r="S122" s="10">
        <f>(1000/373.242/E122)*R122</f>
        <v>119.8345114624633</v>
      </c>
      <c r="T122" s="10">
        <f>240/L122*K122</f>
        <v>8.344841463414635</v>
      </c>
      <c r="U122" s="8">
        <f>(S122/$S$18)*100</f>
        <v>278.08951782294173</v>
      </c>
      <c r="W122" s="20">
        <v>8.979</v>
      </c>
      <c r="X122" s="10">
        <v>119.8345114624633</v>
      </c>
      <c r="Y122" s="10">
        <f>(X122/W122)</f>
        <v>13.346086586753904</v>
      </c>
      <c r="AE122" s="10"/>
    </row>
    <row r="123" spans="1:31" ht="12.75">
      <c r="A123" s="1" t="s">
        <v>77</v>
      </c>
      <c r="B123" t="s">
        <v>120</v>
      </c>
      <c r="C123" s="17">
        <v>22</v>
      </c>
      <c r="D123" s="8">
        <v>0</v>
      </c>
      <c r="E123" s="16">
        <f>(C123+D123/4)/24</f>
        <v>0.9166666666666666</v>
      </c>
      <c r="G123" s="10">
        <v>82</v>
      </c>
      <c r="H123" s="10">
        <f>5760/G123</f>
        <v>70.2439024390244</v>
      </c>
      <c r="J123" s="10">
        <f>373.242/G123</f>
        <v>4.5517317073170735</v>
      </c>
      <c r="K123" s="10">
        <f>J123*E123</f>
        <v>4.172420731707318</v>
      </c>
      <c r="L123" s="17">
        <f>(M123*12)+N123</f>
        <v>120</v>
      </c>
      <c r="M123" s="17">
        <v>10</v>
      </c>
      <c r="N123" s="8">
        <v>0</v>
      </c>
      <c r="O123" s="10">
        <f>(M123/20)+(N123/240)</f>
        <v>0.5</v>
      </c>
      <c r="Q123" s="10">
        <f>G123*O123</f>
        <v>41</v>
      </c>
      <c r="R123" s="10">
        <v>41</v>
      </c>
      <c r="S123" s="10">
        <f>(1000/373.242/E123)*R123</f>
        <v>119.8345114624633</v>
      </c>
      <c r="T123" s="10">
        <f>240/L123*K123</f>
        <v>8.344841463414635</v>
      </c>
      <c r="U123" s="8">
        <f>(S123/$S$18)*100</f>
        <v>278.08951782294173</v>
      </c>
      <c r="W123" s="20">
        <v>8.979</v>
      </c>
      <c r="X123" s="10">
        <v>119.8345114624633</v>
      </c>
      <c r="Y123" s="10">
        <f>(X123/W123)</f>
        <v>13.346086586753904</v>
      </c>
      <c r="AE123" s="10"/>
    </row>
    <row r="124" spans="1:31" ht="12.75">
      <c r="A124" s="1" t="s">
        <v>77</v>
      </c>
      <c r="B124" t="s">
        <v>115</v>
      </c>
      <c r="C124" s="17">
        <v>22</v>
      </c>
      <c r="D124" s="8">
        <v>0</v>
      </c>
      <c r="E124" s="16">
        <f>(C124+D124/4)/24</f>
        <v>0.9166666666666666</v>
      </c>
      <c r="G124" s="10">
        <v>164</v>
      </c>
      <c r="H124" s="10">
        <f>5760/G124</f>
        <v>35.1219512195122</v>
      </c>
      <c r="J124" s="10">
        <f>373.242/G124</f>
        <v>2.2758658536585368</v>
      </c>
      <c r="K124" s="10">
        <f>J124*E124</f>
        <v>2.086210365853659</v>
      </c>
      <c r="L124" s="17">
        <f>(M124*12)+N124</f>
        <v>60</v>
      </c>
      <c r="M124" s="17">
        <v>5</v>
      </c>
      <c r="N124" s="8">
        <v>0</v>
      </c>
      <c r="O124" s="10">
        <f>(M124/20)+(N124/240)</f>
        <v>0.25</v>
      </c>
      <c r="Q124" s="10">
        <f>G124*O124</f>
        <v>41</v>
      </c>
      <c r="R124" s="10">
        <v>41</v>
      </c>
      <c r="S124" s="10">
        <f>(1000/373.242/E124)*R124</f>
        <v>119.8345114624633</v>
      </c>
      <c r="T124" s="10">
        <f>240/L124*K124</f>
        <v>8.344841463414635</v>
      </c>
      <c r="U124" s="8">
        <f>(S124/$S$18)*100</f>
        <v>278.08951782294173</v>
      </c>
      <c r="W124" s="20">
        <v>8.979</v>
      </c>
      <c r="X124" s="10">
        <v>119.8345114624633</v>
      </c>
      <c r="Y124" s="10">
        <f>(X124/W124)</f>
        <v>13.346086586753904</v>
      </c>
      <c r="AE124" s="10"/>
    </row>
    <row r="125" ht="12.75">
      <c r="AE125" s="10"/>
    </row>
    <row r="126" spans="1:31" ht="12.75">
      <c r="A126" s="1" t="s">
        <v>78</v>
      </c>
      <c r="B126" t="s">
        <v>222</v>
      </c>
      <c r="C126" s="17">
        <v>22</v>
      </c>
      <c r="D126" s="8">
        <v>0</v>
      </c>
      <c r="E126" s="16">
        <f>(C126+D126/4)/24</f>
        <v>0.9166666666666666</v>
      </c>
      <c r="G126" s="10">
        <v>44</v>
      </c>
      <c r="H126" s="10">
        <f>5760/G126</f>
        <v>130.9090909090909</v>
      </c>
      <c r="J126" s="10">
        <f>373.242/G126</f>
        <v>8.482772727272728</v>
      </c>
      <c r="K126" s="10">
        <f>J126*E126</f>
        <v>7.775875</v>
      </c>
      <c r="L126" s="17">
        <f>(M126*12)+N126</f>
        <v>240</v>
      </c>
      <c r="M126" s="17">
        <v>20</v>
      </c>
      <c r="N126" s="8">
        <v>0</v>
      </c>
      <c r="O126" s="10">
        <f>(M126/20)+(N126/240)</f>
        <v>1</v>
      </c>
      <c r="Q126" s="10">
        <f>G126*O126</f>
        <v>44</v>
      </c>
      <c r="R126" s="10">
        <v>44</v>
      </c>
      <c r="S126" s="10">
        <f>(1000/373.242/E126)*R126</f>
        <v>128.6028903499606</v>
      </c>
      <c r="T126" s="10">
        <f>240/L126*K126</f>
        <v>7.775875</v>
      </c>
      <c r="U126" s="8">
        <f>(S126/$S$18)*100</f>
        <v>298.4375313221813</v>
      </c>
      <c r="W126" s="20">
        <v>10.21</v>
      </c>
      <c r="X126" s="10">
        <v>128.6028903499606</v>
      </c>
      <c r="Y126" s="10">
        <f>(X126/W126)</f>
        <v>12.595777703228265</v>
      </c>
      <c r="AE126" s="10"/>
    </row>
    <row r="127" spans="1:31" ht="12.75">
      <c r="A127" s="1" t="s">
        <v>78</v>
      </c>
      <c r="B127" t="s">
        <v>120</v>
      </c>
      <c r="C127" s="17">
        <v>22</v>
      </c>
      <c r="D127" s="8">
        <v>0</v>
      </c>
      <c r="E127" s="16">
        <f>(C127+D127/4)/24</f>
        <v>0.9166666666666666</v>
      </c>
      <c r="G127" s="10">
        <v>88</v>
      </c>
      <c r="H127" s="10">
        <f>5760/G127</f>
        <v>65.45454545454545</v>
      </c>
      <c r="J127" s="10">
        <f>373.242/G127</f>
        <v>4.241386363636364</v>
      </c>
      <c r="K127" s="10">
        <f>J127*E127</f>
        <v>3.8879375</v>
      </c>
      <c r="L127" s="17">
        <f>(M127*12)+N127</f>
        <v>120</v>
      </c>
      <c r="M127" s="17">
        <v>10</v>
      </c>
      <c r="N127" s="8">
        <v>0</v>
      </c>
      <c r="O127" s="10">
        <f>(M127/20)+(N127/240)</f>
        <v>0.5</v>
      </c>
      <c r="Q127" s="10">
        <f>G127*O127</f>
        <v>44</v>
      </c>
      <c r="R127" s="10">
        <v>44</v>
      </c>
      <c r="S127" s="10">
        <f>(1000/373.242/E127)*R127</f>
        <v>128.6028903499606</v>
      </c>
      <c r="T127" s="10">
        <f>240/L127*K127</f>
        <v>7.775875</v>
      </c>
      <c r="U127" s="8">
        <f>(S127/$S$18)*100</f>
        <v>298.4375313221813</v>
      </c>
      <c r="W127" s="20">
        <v>10.21</v>
      </c>
      <c r="X127" s="10">
        <v>128.6028903499606</v>
      </c>
      <c r="Y127" s="10">
        <f>(X127/W127)</f>
        <v>12.595777703228265</v>
      </c>
      <c r="AE127" s="10"/>
    </row>
    <row r="128" spans="1:31" ht="12.75">
      <c r="A128" s="1" t="s">
        <v>78</v>
      </c>
      <c r="B128" t="s">
        <v>115</v>
      </c>
      <c r="C128" s="17">
        <v>22</v>
      </c>
      <c r="D128" s="8">
        <v>0</v>
      </c>
      <c r="E128" s="16">
        <f>(C128+D128/4)/24</f>
        <v>0.9166666666666666</v>
      </c>
      <c r="G128" s="10">
        <v>176</v>
      </c>
      <c r="H128" s="10">
        <f>5760/G128</f>
        <v>32.72727272727273</v>
      </c>
      <c r="J128" s="10">
        <f>373.242/G128</f>
        <v>2.120693181818182</v>
      </c>
      <c r="K128" s="10">
        <f>J128*E128</f>
        <v>1.94396875</v>
      </c>
      <c r="L128" s="17">
        <f>(M128*12)+N128</f>
        <v>60</v>
      </c>
      <c r="M128" s="17">
        <v>5</v>
      </c>
      <c r="N128" s="8">
        <v>0</v>
      </c>
      <c r="O128" s="10">
        <f>(M128/20)+(N128/240)</f>
        <v>0.25</v>
      </c>
      <c r="Q128" s="10">
        <f>G128*O128</f>
        <v>44</v>
      </c>
      <c r="R128" s="10">
        <v>44</v>
      </c>
      <c r="S128" s="10">
        <f>(1000/373.242/E128)*R128</f>
        <v>128.6028903499606</v>
      </c>
      <c r="T128" s="10">
        <f>240/L128*K128</f>
        <v>7.775875</v>
      </c>
      <c r="U128" s="8">
        <f>(S128/$S$18)*100</f>
        <v>298.4375313221813</v>
      </c>
      <c r="W128" s="20">
        <v>10.21</v>
      </c>
      <c r="X128" s="10">
        <v>128.6028903499606</v>
      </c>
      <c r="Y128" s="10">
        <f>(X128/W128)</f>
        <v>12.595777703228265</v>
      </c>
      <c r="AE128" s="10"/>
    </row>
    <row r="129" ht="12.75">
      <c r="AE129" s="10"/>
    </row>
    <row r="130" spans="1:31" ht="12.75">
      <c r="A130" s="1" t="s">
        <v>79</v>
      </c>
      <c r="B130" t="s">
        <v>191</v>
      </c>
      <c r="C130" s="17">
        <v>23</v>
      </c>
      <c r="D130" s="8">
        <v>3.5</v>
      </c>
      <c r="E130" s="16">
        <f>(C130+D130/4)/24</f>
        <v>0.9947916666666666</v>
      </c>
      <c r="G130" s="10">
        <v>44.5</v>
      </c>
      <c r="H130" s="10">
        <f>5760/G130</f>
        <v>129.43820224719101</v>
      </c>
      <c r="J130" s="10">
        <f>373.242/G130</f>
        <v>8.387460674157303</v>
      </c>
      <c r="K130" s="10">
        <f>J130*E130</f>
        <v>8.343775983146067</v>
      </c>
      <c r="L130" s="17">
        <f>(M130*12)+N130</f>
        <v>240</v>
      </c>
      <c r="M130" s="17">
        <v>20</v>
      </c>
      <c r="N130" s="8">
        <v>0</v>
      </c>
      <c r="O130" s="10">
        <f>(M130/20)+(N130/240)</f>
        <v>1</v>
      </c>
      <c r="Q130" s="10">
        <f>G130*O130</f>
        <v>44.5</v>
      </c>
      <c r="R130" s="10">
        <f>44+(10/20)</f>
        <v>44.5</v>
      </c>
      <c r="S130" s="10">
        <f>(1000/373.242/E130)*R130</f>
        <v>119.84981404341879</v>
      </c>
      <c r="T130" s="10">
        <f>240/L130*K130</f>
        <v>8.343775983146067</v>
      </c>
      <c r="U130" s="8">
        <f>(S130/$S$18)*100</f>
        <v>278.1250291903051</v>
      </c>
      <c r="W130" s="20">
        <v>8.979</v>
      </c>
      <c r="X130" s="10">
        <v>119.84981404341879</v>
      </c>
      <c r="Y130" s="10">
        <f>(X130/W130)</f>
        <v>13.347790850141308</v>
      </c>
      <c r="AE130" s="10"/>
    </row>
    <row r="131" spans="1:31" ht="12.75">
      <c r="A131" s="1" t="s">
        <v>79</v>
      </c>
      <c r="B131" t="s">
        <v>201</v>
      </c>
      <c r="C131" s="17">
        <v>23</v>
      </c>
      <c r="D131" s="8">
        <v>3.5</v>
      </c>
      <c r="E131" s="16">
        <f>(C131+D131/4)/24</f>
        <v>0.9947916666666666</v>
      </c>
      <c r="G131" s="10">
        <v>89</v>
      </c>
      <c r="H131" s="10">
        <f>5760/G131</f>
        <v>64.71910112359551</v>
      </c>
      <c r="J131" s="10">
        <f>373.242/G131</f>
        <v>4.193730337078652</v>
      </c>
      <c r="K131" s="10">
        <f>J131*E131</f>
        <v>4.171887991573033</v>
      </c>
      <c r="L131" s="17">
        <f>(M131*12)+N131</f>
        <v>120</v>
      </c>
      <c r="M131" s="17">
        <v>10</v>
      </c>
      <c r="N131" s="8">
        <v>0</v>
      </c>
      <c r="O131" s="10">
        <f>(M131/20)+(N131/240)</f>
        <v>0.5</v>
      </c>
      <c r="Q131" s="10">
        <f>G131*O131</f>
        <v>44.5</v>
      </c>
      <c r="R131" s="10">
        <f>44+(10/20)</f>
        <v>44.5</v>
      </c>
      <c r="S131" s="10">
        <f>(1000/373.242/E131)*R131</f>
        <v>119.84981404341879</v>
      </c>
      <c r="T131" s="10">
        <f>240/L131*K131</f>
        <v>8.343775983146067</v>
      </c>
      <c r="U131" s="8">
        <f>(S131/$S$18)*100</f>
        <v>278.1250291903051</v>
      </c>
      <c r="W131" s="20">
        <v>8.979</v>
      </c>
      <c r="X131" s="10">
        <v>119.84981404341879</v>
      </c>
      <c r="Y131" s="10">
        <f>(X131/W131)</f>
        <v>13.347790850141308</v>
      </c>
      <c r="AE131" s="10"/>
    </row>
    <row r="132" spans="1:31" ht="12.75">
      <c r="A132" s="1" t="s">
        <v>79</v>
      </c>
      <c r="B132" t="s">
        <v>107</v>
      </c>
      <c r="C132" s="17">
        <v>23</v>
      </c>
      <c r="D132" s="8">
        <v>3.5</v>
      </c>
      <c r="E132" s="16">
        <f>(C132+D132/4)/24</f>
        <v>0.9947916666666666</v>
      </c>
      <c r="G132" s="10">
        <v>178</v>
      </c>
      <c r="H132" s="10">
        <f>5760/G132</f>
        <v>32.359550561797754</v>
      </c>
      <c r="J132" s="10">
        <f>373.242/G132</f>
        <v>2.096865168539326</v>
      </c>
      <c r="K132" s="10">
        <f>J132*E132</f>
        <v>2.0859439957865167</v>
      </c>
      <c r="L132" s="17">
        <f>(M132*12)+N132</f>
        <v>60</v>
      </c>
      <c r="M132" s="17">
        <v>5</v>
      </c>
      <c r="N132" s="8">
        <v>0</v>
      </c>
      <c r="O132" s="10">
        <f>(M132/20)+(N132/240)</f>
        <v>0.25</v>
      </c>
      <c r="Q132" s="10">
        <f>G132*O132</f>
        <v>44.5</v>
      </c>
      <c r="R132" s="10">
        <f>44+(10/20)</f>
        <v>44.5</v>
      </c>
      <c r="S132" s="10">
        <f>(1000/373.242/E132)*R132</f>
        <v>119.84981404341879</v>
      </c>
      <c r="T132" s="10">
        <f>240/L132*K132</f>
        <v>8.343775983146067</v>
      </c>
      <c r="U132" s="8">
        <f>(S132/$S$18)*100</f>
        <v>278.1250291903051</v>
      </c>
      <c r="W132" s="20">
        <v>8.979</v>
      </c>
      <c r="X132" s="10">
        <v>119.84981404341879</v>
      </c>
      <c r="Y132" s="10">
        <f>(X132/W132)</f>
        <v>13.347790850141308</v>
      </c>
      <c r="AE132" s="10"/>
    </row>
    <row r="133" ht="12.75">
      <c r="AE133" s="10"/>
    </row>
    <row r="134" spans="1:31" ht="12.75">
      <c r="A134" s="1" t="s">
        <v>79</v>
      </c>
      <c r="B134" t="s">
        <v>222</v>
      </c>
      <c r="C134" s="17">
        <v>22</v>
      </c>
      <c r="D134" s="8">
        <v>0</v>
      </c>
      <c r="E134" s="16">
        <f>(C134+D134/4)/24</f>
        <v>0.9166666666666666</v>
      </c>
      <c r="G134" s="10">
        <v>41</v>
      </c>
      <c r="H134" s="10">
        <f>5760/G134</f>
        <v>140.4878048780488</v>
      </c>
      <c r="J134" s="10">
        <f>373.242/G134</f>
        <v>9.103463414634147</v>
      </c>
      <c r="K134" s="10">
        <f>J134*E134</f>
        <v>8.344841463414635</v>
      </c>
      <c r="L134" s="17">
        <f>(M134*12)+N134</f>
        <v>240</v>
      </c>
      <c r="M134" s="17">
        <v>20</v>
      </c>
      <c r="N134" s="8">
        <v>0</v>
      </c>
      <c r="O134" s="10">
        <f>(M134/20)+(N134/240)</f>
        <v>1</v>
      </c>
      <c r="Q134" s="10">
        <f>G134*O134</f>
        <v>41</v>
      </c>
      <c r="R134" s="10">
        <v>41</v>
      </c>
      <c r="S134" s="10">
        <f>(1000/373.242/E134)*R134</f>
        <v>119.8345114624633</v>
      </c>
      <c r="T134" s="10">
        <f>240/L134*K134</f>
        <v>8.344841463414635</v>
      </c>
      <c r="U134" s="8">
        <f>(S134/$S$18)*100</f>
        <v>278.08951782294173</v>
      </c>
      <c r="W134" s="20">
        <v>8.979</v>
      </c>
      <c r="X134" s="10">
        <v>119.8345114624633</v>
      </c>
      <c r="Y134" s="10">
        <f>(X134/W134)</f>
        <v>13.346086586753904</v>
      </c>
      <c r="AE134" s="10"/>
    </row>
    <row r="135" spans="1:31" ht="12.75">
      <c r="A135" s="1" t="s">
        <v>79</v>
      </c>
      <c r="B135" t="s">
        <v>120</v>
      </c>
      <c r="C135" s="17">
        <v>22</v>
      </c>
      <c r="D135" s="8">
        <v>0</v>
      </c>
      <c r="E135" s="16">
        <f>(C135+D135/4)/24</f>
        <v>0.9166666666666666</v>
      </c>
      <c r="G135" s="10">
        <v>82</v>
      </c>
      <c r="H135" s="10">
        <f>5760/G135</f>
        <v>70.2439024390244</v>
      </c>
      <c r="J135" s="10">
        <f>373.242/G135</f>
        <v>4.5517317073170735</v>
      </c>
      <c r="K135" s="10">
        <f>J135*E135</f>
        <v>4.172420731707318</v>
      </c>
      <c r="L135" s="17">
        <f>(M135*12)+N135</f>
        <v>120</v>
      </c>
      <c r="M135" s="17">
        <v>10</v>
      </c>
      <c r="N135" s="8">
        <v>0</v>
      </c>
      <c r="O135" s="10">
        <f>(M135/20)+(N135/240)</f>
        <v>0.5</v>
      </c>
      <c r="Q135" s="10">
        <f>G135*O135</f>
        <v>41</v>
      </c>
      <c r="R135" s="10">
        <v>41</v>
      </c>
      <c r="S135" s="10">
        <f>(1000/373.242/E135)*R135</f>
        <v>119.8345114624633</v>
      </c>
      <c r="T135" s="10">
        <f>240/L135*K135</f>
        <v>8.344841463414635</v>
      </c>
      <c r="U135" s="8">
        <f>(S135/$S$18)*100</f>
        <v>278.08951782294173</v>
      </c>
      <c r="W135" s="20">
        <v>8.979</v>
      </c>
      <c r="X135" s="10">
        <v>119.8345114624633</v>
      </c>
      <c r="Y135" s="10">
        <f>(X135/W135)</f>
        <v>13.346086586753904</v>
      </c>
      <c r="AE135" s="10"/>
    </row>
    <row r="136" spans="1:31" ht="12.75">
      <c r="A136" s="1" t="s">
        <v>79</v>
      </c>
      <c r="B136" t="s">
        <v>115</v>
      </c>
      <c r="C136" s="17">
        <v>22</v>
      </c>
      <c r="D136" s="8">
        <v>0</v>
      </c>
      <c r="E136" s="16">
        <f>(C136+D136/4)/24</f>
        <v>0.9166666666666666</v>
      </c>
      <c r="G136" s="10">
        <v>164</v>
      </c>
      <c r="H136" s="10">
        <f>5760/G136</f>
        <v>35.1219512195122</v>
      </c>
      <c r="J136" s="10">
        <f>373.242/G136</f>
        <v>2.2758658536585368</v>
      </c>
      <c r="K136" s="10">
        <f>J136*E136</f>
        <v>2.086210365853659</v>
      </c>
      <c r="L136" s="17">
        <f>(M136*12)+N136</f>
        <v>60</v>
      </c>
      <c r="M136" s="17">
        <v>5</v>
      </c>
      <c r="N136" s="8">
        <v>0</v>
      </c>
      <c r="O136" s="10">
        <f>(M136/20)+(N136/240)</f>
        <v>0.25</v>
      </c>
      <c r="Q136" s="10">
        <f>G136*O136</f>
        <v>41</v>
      </c>
      <c r="R136" s="10">
        <v>41</v>
      </c>
      <c r="S136" s="10">
        <f>(1000/373.242/E136)*R136</f>
        <v>119.8345114624633</v>
      </c>
      <c r="T136" s="10">
        <f>240/L136*K136</f>
        <v>8.344841463414635</v>
      </c>
      <c r="U136" s="8">
        <f>(S136/$S$18)*100</f>
        <v>278.08951782294173</v>
      </c>
      <c r="W136" s="20">
        <v>8.979</v>
      </c>
      <c r="X136" s="10">
        <v>119.8345114624633</v>
      </c>
      <c r="Y136" s="10">
        <f>(X136/W136)</f>
        <v>13.346086586753904</v>
      </c>
      <c r="AE136" s="10"/>
    </row>
    <row r="137" ht="12.75">
      <c r="AE137" s="10"/>
    </row>
    <row r="138" spans="1:31" ht="12.75">
      <c r="A138" s="1" t="s">
        <v>82</v>
      </c>
      <c r="B138" t="s">
        <v>201</v>
      </c>
      <c r="C138" s="17">
        <v>23</v>
      </c>
      <c r="D138" s="8">
        <v>3.5</v>
      </c>
      <c r="E138" s="16">
        <f>(C138+D138/4)/24</f>
        <v>0.9947916666666666</v>
      </c>
      <c r="G138" s="10">
        <v>59.333333333333336</v>
      </c>
      <c r="H138" s="10">
        <f>5760/G138</f>
        <v>97.07865168539325</v>
      </c>
      <c r="J138" s="10">
        <f>373.242/G138</f>
        <v>6.290595505617977</v>
      </c>
      <c r="K138" s="10">
        <f>J138*E138</f>
        <v>6.25783198735955</v>
      </c>
      <c r="L138" s="17">
        <f>(M138*12)+N138</f>
        <v>180</v>
      </c>
      <c r="M138" s="17">
        <v>15</v>
      </c>
      <c r="N138" s="8">
        <v>0</v>
      </c>
      <c r="O138" s="10">
        <f>(M138/20)+(N138/240)</f>
        <v>0.75</v>
      </c>
      <c r="Q138" s="10">
        <f>G138*O138</f>
        <v>44.5</v>
      </c>
      <c r="R138" s="10">
        <f>44+(10/20)</f>
        <v>44.5</v>
      </c>
      <c r="S138" s="10">
        <f>(1000/373.242/E138)*R138</f>
        <v>119.84981404341879</v>
      </c>
      <c r="T138" s="10">
        <f>240/L138*K138</f>
        <v>8.343775983146067</v>
      </c>
      <c r="U138" s="8">
        <f>(S138/$S$18)*100</f>
        <v>278.1250291903051</v>
      </c>
      <c r="W138" s="20">
        <v>8.979</v>
      </c>
      <c r="X138" s="10">
        <v>119.84981404341879</v>
      </c>
      <c r="Y138" s="10">
        <f>(X138/W138)</f>
        <v>13.347790850141308</v>
      </c>
      <c r="AE138" s="10"/>
    </row>
    <row r="139" spans="1:31" ht="12.75">
      <c r="A139" s="1" t="s">
        <v>82</v>
      </c>
      <c r="B139" t="s">
        <v>107</v>
      </c>
      <c r="C139" s="17">
        <v>23</v>
      </c>
      <c r="D139" s="8">
        <v>3.5</v>
      </c>
      <c r="E139" s="16">
        <f>(C139+D139/4)/24</f>
        <v>0.9947916666666666</v>
      </c>
      <c r="G139" s="10">
        <v>89</v>
      </c>
      <c r="H139" s="10">
        <f>5760/G139</f>
        <v>64.71910112359551</v>
      </c>
      <c r="J139" s="10">
        <f>373.242/G139</f>
        <v>4.193730337078652</v>
      </c>
      <c r="K139" s="10">
        <f>J139*E139</f>
        <v>4.171887991573033</v>
      </c>
      <c r="L139" s="17">
        <f>(M139*12)+N139</f>
        <v>120</v>
      </c>
      <c r="M139" s="17">
        <v>10</v>
      </c>
      <c r="N139" s="8">
        <v>0</v>
      </c>
      <c r="O139" s="10">
        <f>(M139/20)+(N139/240)</f>
        <v>0.5</v>
      </c>
      <c r="Q139" s="10">
        <f>G139*O139</f>
        <v>44.5</v>
      </c>
      <c r="R139" s="10">
        <f>44+(10/20)</f>
        <v>44.5</v>
      </c>
      <c r="S139" s="10">
        <f>(1000/373.242/E139)*R139</f>
        <v>119.84981404341879</v>
      </c>
      <c r="T139" s="10">
        <f>240/L139*K139</f>
        <v>8.343775983146067</v>
      </c>
      <c r="U139" s="8">
        <f>(S139/$S$18)*100</f>
        <v>278.1250291903051</v>
      </c>
      <c r="W139" s="20">
        <v>8.979</v>
      </c>
      <c r="X139" s="10">
        <v>119.84981404341879</v>
      </c>
      <c r="Y139" s="10">
        <f>(X139/W139)</f>
        <v>13.347790850141308</v>
      </c>
      <c r="AE139" s="10"/>
    </row>
    <row r="140" ht="12.75">
      <c r="AE140" s="10"/>
    </row>
    <row r="141" spans="1:31" ht="12.75">
      <c r="A141" s="1" t="s">
        <v>82</v>
      </c>
      <c r="B141" t="s">
        <v>222</v>
      </c>
      <c r="C141" s="17">
        <v>22</v>
      </c>
      <c r="D141" s="8">
        <v>0</v>
      </c>
      <c r="E141" s="16">
        <f>(C141+D141/4)/24</f>
        <v>0.9166666666666666</v>
      </c>
      <c r="G141" s="10">
        <v>41</v>
      </c>
      <c r="H141" s="10">
        <f>5760/G141</f>
        <v>140.4878048780488</v>
      </c>
      <c r="J141" s="10">
        <f>373.242/G141</f>
        <v>9.103463414634147</v>
      </c>
      <c r="K141" s="10">
        <f>J141*E141</f>
        <v>8.344841463414635</v>
      </c>
      <c r="L141" s="17">
        <f>(M141*12)+N141</f>
        <v>240</v>
      </c>
      <c r="M141" s="17">
        <v>20</v>
      </c>
      <c r="N141" s="8">
        <v>0</v>
      </c>
      <c r="O141" s="10">
        <f>(M141/20)+(N141/240)</f>
        <v>1</v>
      </c>
      <c r="Q141" s="10">
        <f>G141*O141</f>
        <v>41</v>
      </c>
      <c r="R141" s="10">
        <v>41</v>
      </c>
      <c r="S141" s="10">
        <f>(1000/373.242/E141)*R141</f>
        <v>119.8345114624633</v>
      </c>
      <c r="T141" s="10">
        <f>240/L141*K141</f>
        <v>8.344841463414635</v>
      </c>
      <c r="U141" s="8">
        <f>(S141/$S$18)*100</f>
        <v>278.08951782294173</v>
      </c>
      <c r="W141" s="20">
        <v>8.979</v>
      </c>
      <c r="X141" s="10">
        <v>119.8345114624633</v>
      </c>
      <c r="Y141" s="10">
        <f>(X141/W141)</f>
        <v>13.346086586753904</v>
      </c>
      <c r="AE141" s="10"/>
    </row>
    <row r="142" spans="1:31" ht="12.75">
      <c r="A142" s="1" t="s">
        <v>82</v>
      </c>
      <c r="B142" t="s">
        <v>120</v>
      </c>
      <c r="C142" s="17">
        <v>22</v>
      </c>
      <c r="D142" s="8">
        <v>0</v>
      </c>
      <c r="E142" s="16">
        <f>(C142+D142/4)/24</f>
        <v>0.9166666666666666</v>
      </c>
      <c r="G142" s="10">
        <v>82</v>
      </c>
      <c r="H142" s="10">
        <f>5760/G142</f>
        <v>70.2439024390244</v>
      </c>
      <c r="J142" s="10">
        <f>373.242/G142</f>
        <v>4.5517317073170735</v>
      </c>
      <c r="K142" s="10">
        <f>J142*E142</f>
        <v>4.172420731707318</v>
      </c>
      <c r="L142" s="17">
        <f>(M142*12)+N142</f>
        <v>120</v>
      </c>
      <c r="M142" s="17">
        <v>10</v>
      </c>
      <c r="N142" s="8">
        <v>0</v>
      </c>
      <c r="O142" s="10">
        <f>(M142/20)+(N142/240)</f>
        <v>0.5</v>
      </c>
      <c r="Q142" s="10">
        <f>G142*O142</f>
        <v>41</v>
      </c>
      <c r="R142" s="10">
        <v>41</v>
      </c>
      <c r="S142" s="10">
        <f>(1000/373.242/E142)*R142</f>
        <v>119.8345114624633</v>
      </c>
      <c r="T142" s="10">
        <f>240/L142*K142</f>
        <v>8.344841463414635</v>
      </c>
      <c r="U142" s="8">
        <f>(S142/$S$18)*100</f>
        <v>278.08951782294173</v>
      </c>
      <c r="W142" s="20">
        <v>8.979</v>
      </c>
      <c r="X142" s="10">
        <v>119.8345114624633</v>
      </c>
      <c r="Y142" s="10">
        <f>(X142/W142)</f>
        <v>13.346086586753904</v>
      </c>
      <c r="AE142" s="10"/>
    </row>
    <row r="143" spans="1:31" ht="12.75">
      <c r="A143" s="1" t="s">
        <v>82</v>
      </c>
      <c r="B143" t="s">
        <v>115</v>
      </c>
      <c r="C143" s="17">
        <v>22</v>
      </c>
      <c r="D143" s="8">
        <v>0</v>
      </c>
      <c r="E143" s="16">
        <f>(C143+D143/4)/24</f>
        <v>0.9166666666666666</v>
      </c>
      <c r="G143" s="10">
        <v>164</v>
      </c>
      <c r="H143" s="10">
        <f>5760/G143</f>
        <v>35.1219512195122</v>
      </c>
      <c r="J143" s="10">
        <f>373.242/G143</f>
        <v>2.2758658536585368</v>
      </c>
      <c r="K143" s="10">
        <f>J143*E143</f>
        <v>2.086210365853659</v>
      </c>
      <c r="L143" s="17">
        <f>(M143*12)+N143</f>
        <v>60</v>
      </c>
      <c r="M143" s="17">
        <v>5</v>
      </c>
      <c r="N143" s="8">
        <v>0</v>
      </c>
      <c r="O143" s="10">
        <f>(M143/20)+(N143/240)</f>
        <v>0.25</v>
      </c>
      <c r="Q143" s="10">
        <f>G143*O143</f>
        <v>41</v>
      </c>
      <c r="R143" s="10">
        <v>41</v>
      </c>
      <c r="S143" s="10">
        <f>(1000/373.242/E143)*R143</f>
        <v>119.8345114624633</v>
      </c>
      <c r="T143" s="10">
        <f>240/L143*K143</f>
        <v>8.344841463414635</v>
      </c>
      <c r="U143" s="8">
        <f>(S143/$S$18)*100</f>
        <v>278.08951782294173</v>
      </c>
      <c r="W143" s="20">
        <v>8.979</v>
      </c>
      <c r="X143" s="10">
        <v>119.8345114624633</v>
      </c>
      <c r="Y143" s="10">
        <f>(X143/W143)</f>
        <v>13.346086586753904</v>
      </c>
      <c r="AE143" s="10"/>
    </row>
    <row r="144" ht="12.75">
      <c r="AE144" s="10"/>
    </row>
    <row r="145" spans="1:31" ht="12.75">
      <c r="A145" s="1" t="s">
        <v>83</v>
      </c>
      <c r="B145" t="s">
        <v>191</v>
      </c>
      <c r="C145" s="17">
        <v>23</v>
      </c>
      <c r="D145" s="8">
        <v>3.5</v>
      </c>
      <c r="E145" s="16">
        <f>(C145+D145/4)/24</f>
        <v>0.9947916666666666</v>
      </c>
      <c r="G145" s="10">
        <v>44.5</v>
      </c>
      <c r="H145" s="10">
        <f>5760/G145</f>
        <v>129.43820224719101</v>
      </c>
      <c r="J145" s="10">
        <f>373.242/G145</f>
        <v>8.387460674157303</v>
      </c>
      <c r="K145" s="10">
        <f>J145*E145</f>
        <v>8.343775983146067</v>
      </c>
      <c r="L145" s="17">
        <f>(M145*12)+N145</f>
        <v>240</v>
      </c>
      <c r="M145" s="17">
        <v>20</v>
      </c>
      <c r="N145" s="8">
        <v>0</v>
      </c>
      <c r="O145" s="10">
        <f>(M145/20)+(N145/240)</f>
        <v>1</v>
      </c>
      <c r="Q145" s="10">
        <f>G145*O145</f>
        <v>44.5</v>
      </c>
      <c r="R145" s="10">
        <f>44+(10/20)</f>
        <v>44.5</v>
      </c>
      <c r="S145" s="10">
        <f>(1000/373.242/E145)*R145</f>
        <v>119.84981404341879</v>
      </c>
      <c r="T145" s="10">
        <f>240/L145*K145</f>
        <v>8.343775983146067</v>
      </c>
      <c r="U145" s="8">
        <f>(S145/$S$18)*100</f>
        <v>278.1250291903051</v>
      </c>
      <c r="W145" s="20">
        <v>8.979</v>
      </c>
      <c r="X145" s="10">
        <v>119.84981404341879</v>
      </c>
      <c r="Y145" s="10">
        <f>(X145/W145)</f>
        <v>13.347790850141308</v>
      </c>
      <c r="AE145" s="10"/>
    </row>
    <row r="146" spans="1:31" ht="12.75">
      <c r="A146" s="1" t="s">
        <v>83</v>
      </c>
      <c r="B146" t="s">
        <v>201</v>
      </c>
      <c r="C146" s="17">
        <v>23</v>
      </c>
      <c r="D146" s="8">
        <v>3.5</v>
      </c>
      <c r="E146" s="16">
        <f>(C146+D146/4)/24</f>
        <v>0.9947916666666666</v>
      </c>
      <c r="G146" s="10">
        <v>89</v>
      </c>
      <c r="H146" s="10">
        <f>5760/G146</f>
        <v>64.71910112359551</v>
      </c>
      <c r="J146" s="10">
        <f>373.242/G146</f>
        <v>4.193730337078652</v>
      </c>
      <c r="K146" s="10">
        <f>J146*E146</f>
        <v>4.171887991573033</v>
      </c>
      <c r="L146" s="17">
        <f>(M146*12)+N146</f>
        <v>120</v>
      </c>
      <c r="M146" s="17">
        <v>10</v>
      </c>
      <c r="N146" s="8">
        <v>0</v>
      </c>
      <c r="O146" s="10">
        <f>(M146/20)+(N146/240)</f>
        <v>0.5</v>
      </c>
      <c r="Q146" s="10">
        <f>G146*O146</f>
        <v>44.5</v>
      </c>
      <c r="R146" s="10">
        <f>44+(10/20)</f>
        <v>44.5</v>
      </c>
      <c r="S146" s="10">
        <f>(1000/373.242/E146)*R146</f>
        <v>119.84981404341879</v>
      </c>
      <c r="T146" s="10">
        <f>240/L146*K146</f>
        <v>8.343775983146067</v>
      </c>
      <c r="U146" s="8">
        <f>(S146/$S$18)*100</f>
        <v>278.1250291903051</v>
      </c>
      <c r="W146" s="20">
        <v>8.979</v>
      </c>
      <c r="X146" s="10">
        <v>119.84981404341879</v>
      </c>
      <c r="Y146" s="10">
        <f>(X146/W146)</f>
        <v>13.347790850141308</v>
      </c>
      <c r="AE146" s="10"/>
    </row>
    <row r="147" spans="1:31" ht="12.75">
      <c r="A147" s="1" t="s">
        <v>83</v>
      </c>
      <c r="B147" t="s">
        <v>107</v>
      </c>
      <c r="C147" s="17">
        <v>23</v>
      </c>
      <c r="D147" s="8">
        <v>3.5</v>
      </c>
      <c r="E147" s="16">
        <f>(C147+D147/4)/24</f>
        <v>0.9947916666666666</v>
      </c>
      <c r="G147" s="10">
        <v>178</v>
      </c>
      <c r="H147" s="10">
        <f>5760/G147</f>
        <v>32.359550561797754</v>
      </c>
      <c r="J147" s="10">
        <f>373.242/G147</f>
        <v>2.096865168539326</v>
      </c>
      <c r="K147" s="10">
        <f>J147*E147</f>
        <v>2.0859439957865167</v>
      </c>
      <c r="L147" s="17">
        <f>(M147*12)+N147</f>
        <v>60</v>
      </c>
      <c r="M147" s="17">
        <v>5</v>
      </c>
      <c r="N147" s="8">
        <v>0</v>
      </c>
      <c r="O147" s="10">
        <f>(M147/20)+(N147/240)</f>
        <v>0.25</v>
      </c>
      <c r="Q147" s="10">
        <f>G147*O147</f>
        <v>44.5</v>
      </c>
      <c r="R147" s="10">
        <f>44+(10/20)</f>
        <v>44.5</v>
      </c>
      <c r="S147" s="10">
        <f>(1000/373.242/E147)*R147</f>
        <v>119.84981404341879</v>
      </c>
      <c r="T147" s="10">
        <f>240/L147*K147</f>
        <v>8.343775983146067</v>
      </c>
      <c r="U147" s="8">
        <f>(S147/$S$18)*100</f>
        <v>278.1250291903051</v>
      </c>
      <c r="W147" s="20">
        <v>8.979</v>
      </c>
      <c r="X147" s="10">
        <v>119.84981404341879</v>
      </c>
      <c r="Y147" s="10">
        <f>(X147/W147)</f>
        <v>13.347790850141308</v>
      </c>
      <c r="AE147" s="10"/>
    </row>
    <row r="148" ht="12.75">
      <c r="AE148" s="10"/>
    </row>
    <row r="149" spans="1:31" ht="12.75">
      <c r="A149" s="1" t="s">
        <v>83</v>
      </c>
      <c r="B149" t="s">
        <v>222</v>
      </c>
      <c r="C149" s="17">
        <v>22</v>
      </c>
      <c r="D149" s="8">
        <v>0</v>
      </c>
      <c r="E149" s="16">
        <f>(C149+D149/4)/24</f>
        <v>0.9166666666666666</v>
      </c>
      <c r="G149" s="10">
        <v>41</v>
      </c>
      <c r="H149" s="10">
        <f>5760/G149</f>
        <v>140.4878048780488</v>
      </c>
      <c r="J149" s="10">
        <f>373.242/G149</f>
        <v>9.103463414634147</v>
      </c>
      <c r="K149" s="10">
        <f>J149*E149</f>
        <v>8.344841463414635</v>
      </c>
      <c r="L149" s="17">
        <f>(M149*12)+N149</f>
        <v>240</v>
      </c>
      <c r="M149" s="17">
        <v>20</v>
      </c>
      <c r="N149" s="8">
        <v>0</v>
      </c>
      <c r="O149" s="10">
        <f>(M149/20)+(N149/240)</f>
        <v>1</v>
      </c>
      <c r="Q149" s="10">
        <f>G149*O149</f>
        <v>41</v>
      </c>
      <c r="R149" s="10">
        <v>41</v>
      </c>
      <c r="S149" s="10">
        <f>(1000/373.242/E149)*R149</f>
        <v>119.8345114624633</v>
      </c>
      <c r="T149" s="10">
        <f>240/L149*K149</f>
        <v>8.344841463414635</v>
      </c>
      <c r="U149" s="8">
        <f>(S149/$S$18)*100</f>
        <v>278.08951782294173</v>
      </c>
      <c r="W149" s="20">
        <v>8.979</v>
      </c>
      <c r="X149" s="10">
        <v>119.8345114624633</v>
      </c>
      <c r="Y149" s="10">
        <f>(X149/W149)</f>
        <v>13.346086586753904</v>
      </c>
      <c r="AE149" s="10"/>
    </row>
    <row r="150" spans="1:31" ht="12.75">
      <c r="A150" s="1" t="s">
        <v>83</v>
      </c>
      <c r="B150" t="s">
        <v>120</v>
      </c>
      <c r="C150" s="17">
        <v>22</v>
      </c>
      <c r="D150" s="8">
        <v>0</v>
      </c>
      <c r="E150" s="16">
        <f>(C150+D150/4)/24</f>
        <v>0.9166666666666666</v>
      </c>
      <c r="G150" s="10">
        <v>82</v>
      </c>
      <c r="H150" s="10">
        <f>5760/G150</f>
        <v>70.2439024390244</v>
      </c>
      <c r="J150" s="10">
        <f>373.242/G150</f>
        <v>4.5517317073170735</v>
      </c>
      <c r="K150" s="10">
        <f>J150*E150</f>
        <v>4.172420731707318</v>
      </c>
      <c r="L150" s="17">
        <f>(M150*12)+N150</f>
        <v>120</v>
      </c>
      <c r="M150" s="17">
        <v>10</v>
      </c>
      <c r="N150" s="8">
        <v>0</v>
      </c>
      <c r="O150" s="10">
        <f>(M150/20)+(N150/240)</f>
        <v>0.5</v>
      </c>
      <c r="Q150" s="10">
        <f>G150*O150</f>
        <v>41</v>
      </c>
      <c r="R150" s="10">
        <v>41</v>
      </c>
      <c r="S150" s="10">
        <f>(1000/373.242/E150)*R150</f>
        <v>119.8345114624633</v>
      </c>
      <c r="T150" s="10">
        <f>240/L150*K150</f>
        <v>8.344841463414635</v>
      </c>
      <c r="U150" s="8">
        <f>(S150/$S$18)*100</f>
        <v>278.08951782294173</v>
      </c>
      <c r="W150" s="20">
        <v>8.979</v>
      </c>
      <c r="X150" s="10">
        <v>119.8345114624633</v>
      </c>
      <c r="Y150" s="10">
        <f>(X150/W150)</f>
        <v>13.346086586753904</v>
      </c>
      <c r="AE150" s="10"/>
    </row>
    <row r="151" spans="1:31" ht="12.75">
      <c r="A151" s="1" t="s">
        <v>83</v>
      </c>
      <c r="B151" t="s">
        <v>115</v>
      </c>
      <c r="C151" s="17">
        <v>22</v>
      </c>
      <c r="D151" s="8">
        <v>0</v>
      </c>
      <c r="E151" s="16">
        <f>(C151+D151/4)/24</f>
        <v>0.9166666666666666</v>
      </c>
      <c r="G151" s="10">
        <v>164</v>
      </c>
      <c r="H151" s="10">
        <f>5760/G151</f>
        <v>35.1219512195122</v>
      </c>
      <c r="J151" s="10">
        <f>373.242/G151</f>
        <v>2.2758658536585368</v>
      </c>
      <c r="K151" s="10">
        <f>J151*E151</f>
        <v>2.086210365853659</v>
      </c>
      <c r="L151" s="17">
        <f>(M151*12)+N151</f>
        <v>60</v>
      </c>
      <c r="M151" s="17">
        <v>5</v>
      </c>
      <c r="N151" s="8">
        <v>0</v>
      </c>
      <c r="O151" s="10">
        <f>(M151/20)+(N151/240)</f>
        <v>0.25</v>
      </c>
      <c r="Q151" s="10">
        <f>G151*O151</f>
        <v>41</v>
      </c>
      <c r="R151" s="10">
        <v>41</v>
      </c>
      <c r="S151" s="10">
        <f>(1000/373.242/E151)*R151</f>
        <v>119.8345114624633</v>
      </c>
      <c r="T151" s="10">
        <f>240/L151*K151</f>
        <v>8.344841463414635</v>
      </c>
      <c r="U151" s="8">
        <f>(S151/$S$18)*100</f>
        <v>278.08951782294173</v>
      </c>
      <c r="W151" s="20">
        <v>8.979</v>
      </c>
      <c r="X151" s="10">
        <v>119.8345114624633</v>
      </c>
      <c r="Y151" s="10">
        <f>(X151/W151)</f>
        <v>13.346086586753904</v>
      </c>
      <c r="AE151" s="10"/>
    </row>
    <row r="152" ht="12.75">
      <c r="AE152" s="10"/>
    </row>
    <row r="153" spans="1:31" ht="12.75">
      <c r="A153" s="1" t="s">
        <v>84</v>
      </c>
      <c r="B153" t="s">
        <v>136</v>
      </c>
      <c r="C153" s="17">
        <v>22</v>
      </c>
      <c r="D153" s="8">
        <v>0</v>
      </c>
      <c r="E153" s="16">
        <f>(C153+D153/4)/24</f>
        <v>0.9166666666666666</v>
      </c>
      <c r="G153" s="10">
        <v>44.5</v>
      </c>
      <c r="H153" s="10">
        <f>5760/G153</f>
        <v>129.43820224719101</v>
      </c>
      <c r="J153" s="10">
        <f>373.242/G153</f>
        <v>8.387460674157303</v>
      </c>
      <c r="K153" s="10">
        <f>J153*E153</f>
        <v>7.688505617977528</v>
      </c>
      <c r="L153" s="17">
        <v>240</v>
      </c>
      <c r="M153" s="17">
        <v>20</v>
      </c>
      <c r="N153" s="8">
        <v>0</v>
      </c>
      <c r="O153" s="10">
        <f>(M153/20)+(N153/240)</f>
        <v>1</v>
      </c>
      <c r="Q153" s="10">
        <f>G153*O153</f>
        <v>44.5</v>
      </c>
      <c r="R153" s="10">
        <v>41</v>
      </c>
      <c r="S153" s="10">
        <f>(1000/373.242/E153)*R153</f>
        <v>119.8345114624633</v>
      </c>
      <c r="T153" s="10">
        <f>240/L153*K153</f>
        <v>7.688505617977528</v>
      </c>
      <c r="U153" s="8">
        <f>(S153/$S$18)*100</f>
        <v>278.08951782294173</v>
      </c>
      <c r="W153" s="20">
        <v>8.979</v>
      </c>
      <c r="X153" s="10">
        <v>119.8345114624633</v>
      </c>
      <c r="Y153" s="10">
        <f>(X153/W153)</f>
        <v>13.346086586753904</v>
      </c>
      <c r="AE153" s="10"/>
    </row>
    <row r="154" ht="12.75">
      <c r="AE154" s="10"/>
    </row>
    <row r="155" spans="1:31" ht="12.75">
      <c r="A155" s="1" t="s">
        <v>85</v>
      </c>
      <c r="B155" t="s">
        <v>136</v>
      </c>
      <c r="C155" s="17">
        <v>22</v>
      </c>
      <c r="D155" s="8">
        <v>0</v>
      </c>
      <c r="E155" s="16">
        <f>(C155+D155/4)/24</f>
        <v>0.9166666666666666</v>
      </c>
      <c r="G155" s="10">
        <v>44.5</v>
      </c>
      <c r="H155" s="10">
        <f>5760/G155</f>
        <v>129.43820224719101</v>
      </c>
      <c r="J155" s="10">
        <f>373.242/G155</f>
        <v>8.387460674157303</v>
      </c>
      <c r="K155" s="10">
        <f>J155*E155</f>
        <v>7.688505617977528</v>
      </c>
      <c r="L155" s="17">
        <f>(M155*12)+N155</f>
        <v>240</v>
      </c>
      <c r="M155" s="17">
        <v>20</v>
      </c>
      <c r="N155" s="8">
        <v>0</v>
      </c>
      <c r="O155" s="10">
        <f>(M155/20)+(N155/240)</f>
        <v>1</v>
      </c>
      <c r="Q155" s="10">
        <f>G155*O155</f>
        <v>44.5</v>
      </c>
      <c r="R155" s="10">
        <f>44+(10/20)</f>
        <v>44.5</v>
      </c>
      <c r="S155" s="10">
        <f>(1000/373.242/E155)*R155</f>
        <v>130.06428683121015</v>
      </c>
      <c r="T155" s="10">
        <f>240/L155*K155</f>
        <v>7.688505617977528</v>
      </c>
      <c r="U155" s="8">
        <f>(S155/$S$18)*100</f>
        <v>301.8288669053879</v>
      </c>
      <c r="W155" s="20">
        <v>8.979</v>
      </c>
      <c r="X155" s="10">
        <v>130.06428683121015</v>
      </c>
      <c r="Y155" s="10">
        <f>(X155/W155)</f>
        <v>14.485386661232894</v>
      </c>
      <c r="AE155" s="10"/>
    </row>
    <row r="156" spans="1:31" ht="12.75">
      <c r="A156" s="1" t="s">
        <v>85</v>
      </c>
      <c r="B156" t="s">
        <v>120</v>
      </c>
      <c r="C156" s="17">
        <v>22</v>
      </c>
      <c r="D156" s="8">
        <v>0</v>
      </c>
      <c r="E156" s="16">
        <f>(C156+D156/4)/24</f>
        <v>0.9166666666666666</v>
      </c>
      <c r="G156" s="10">
        <v>89</v>
      </c>
      <c r="H156" s="10">
        <f>5760/G156</f>
        <v>64.71910112359551</v>
      </c>
      <c r="J156" s="10">
        <f>373.242/G156</f>
        <v>4.193730337078652</v>
      </c>
      <c r="K156" s="10">
        <f>J156*E156</f>
        <v>3.844252808988764</v>
      </c>
      <c r="L156" s="17">
        <f>(M156*12)+N156</f>
        <v>120</v>
      </c>
      <c r="M156" s="17">
        <v>10</v>
      </c>
      <c r="N156" s="8">
        <v>0</v>
      </c>
      <c r="O156" s="10">
        <f>(M156/20)+(N156/240)</f>
        <v>0.5</v>
      </c>
      <c r="Q156" s="10">
        <f>G156*O156</f>
        <v>44.5</v>
      </c>
      <c r="R156" s="10">
        <f>44+(10/20)</f>
        <v>44.5</v>
      </c>
      <c r="S156" s="10">
        <f>(1000/373.242/E156)*R156</f>
        <v>130.06428683121015</v>
      </c>
      <c r="T156" s="10">
        <f>240/L156*K156</f>
        <v>7.688505617977528</v>
      </c>
      <c r="U156" s="8">
        <f>(S156/$S$18)*100</f>
        <v>301.8288669053879</v>
      </c>
      <c r="W156" s="20">
        <v>8.979</v>
      </c>
      <c r="X156" s="10">
        <v>130.06428683121015</v>
      </c>
      <c r="Y156" s="10">
        <f>(X156/W156)</f>
        <v>14.485386661232894</v>
      </c>
      <c r="AE156" s="10"/>
    </row>
    <row r="157" ht="12.75">
      <c r="AE157" s="10"/>
    </row>
    <row r="158" spans="1:31" ht="12.75">
      <c r="A158" s="1" t="s">
        <v>87</v>
      </c>
      <c r="B158" t="s">
        <v>136</v>
      </c>
      <c r="C158" s="17">
        <v>22</v>
      </c>
      <c r="D158" s="8">
        <v>0</v>
      </c>
      <c r="E158" s="16">
        <f>(C158+D158/4)/24</f>
        <v>0.9166666666666666</v>
      </c>
      <c r="G158" s="10">
        <v>44.5</v>
      </c>
      <c r="H158" s="10">
        <f>5760/G158</f>
        <v>129.43820224719101</v>
      </c>
      <c r="J158" s="10">
        <f>373.242/G158</f>
        <v>8.387460674157303</v>
      </c>
      <c r="K158" s="10">
        <f>J158*E158</f>
        <v>7.688505617977528</v>
      </c>
      <c r="L158" s="17">
        <f>26*12</f>
        <v>312</v>
      </c>
      <c r="M158" s="17">
        <v>26</v>
      </c>
      <c r="N158" s="8">
        <v>0</v>
      </c>
      <c r="O158" s="10">
        <f>(M158/20)+(N158/240)</f>
        <v>1.3</v>
      </c>
      <c r="Q158" s="10">
        <f>G158*O158</f>
        <v>57.85</v>
      </c>
      <c r="R158" s="10">
        <v>57.85</v>
      </c>
      <c r="S158" s="10">
        <f>(1000/373.242/E158)*R158</f>
        <v>169.0835728805732</v>
      </c>
      <c r="T158" s="10">
        <f>240/L158*K158</f>
        <v>5.914235090751945</v>
      </c>
      <c r="U158" s="8">
        <f>(S158/$S$18)*100</f>
        <v>392.37752697700427</v>
      </c>
      <c r="W158" s="20">
        <v>8.979</v>
      </c>
      <c r="X158" s="10">
        <v>119.8345114624633</v>
      </c>
      <c r="Y158" s="10">
        <f>(X158/W158)</f>
        <v>13.346086586753904</v>
      </c>
      <c r="AE158" s="10"/>
    </row>
    <row r="159" ht="12.75">
      <c r="AE159" s="10"/>
    </row>
    <row r="160" spans="1:31" ht="12.75">
      <c r="A160" s="1" t="s">
        <v>86</v>
      </c>
      <c r="B160" t="s">
        <v>136</v>
      </c>
      <c r="C160" s="17">
        <v>22</v>
      </c>
      <c r="D160" s="8">
        <v>0</v>
      </c>
      <c r="E160" s="16">
        <f>(C160+D160/4)/24</f>
        <v>0.9166666666666666</v>
      </c>
      <c r="G160" s="10">
        <v>44.5</v>
      </c>
      <c r="H160" s="10">
        <f>5760/G160</f>
        <v>129.43820224719101</v>
      </c>
      <c r="J160" s="10">
        <f>373.242/G160</f>
        <v>8.387460674157303</v>
      </c>
      <c r="K160" s="10">
        <f>J160*E160</f>
        <v>7.688505617977528</v>
      </c>
      <c r="L160" s="17">
        <f>22*12</f>
        <v>264</v>
      </c>
      <c r="M160" s="17">
        <v>22</v>
      </c>
      <c r="N160" s="8">
        <v>0</v>
      </c>
      <c r="O160" s="10">
        <f>(M160/20)+(N160/240)</f>
        <v>1.1</v>
      </c>
      <c r="Q160" s="10">
        <f>G160*O160</f>
        <v>48.95</v>
      </c>
      <c r="R160" s="10">
        <v>48.95</v>
      </c>
      <c r="S160" s="10">
        <f>(1000/373.242/E160)*R160</f>
        <v>143.07071551433117</v>
      </c>
      <c r="T160" s="10">
        <f>240/L160*K160</f>
        <v>6.989550561797753</v>
      </c>
      <c r="U160" s="8">
        <f>(S160/$S$18)*100</f>
        <v>332.0117535959267</v>
      </c>
      <c r="W160" s="20">
        <v>8.979</v>
      </c>
      <c r="X160" s="10">
        <v>119.8345114624633</v>
      </c>
      <c r="Y160" s="10">
        <f>(X160/W160)</f>
        <v>13.346086586753904</v>
      </c>
      <c r="AE160" s="10"/>
    </row>
    <row r="161" ht="12.75">
      <c r="AE161" s="10"/>
    </row>
    <row r="162" spans="1:31" ht="12.75">
      <c r="A162" s="1" t="s">
        <v>88</v>
      </c>
      <c r="B162" t="s">
        <v>136</v>
      </c>
      <c r="C162" s="17">
        <v>22</v>
      </c>
      <c r="D162" s="8">
        <v>0</v>
      </c>
      <c r="E162" s="16">
        <f>(C162+D162/4)/24</f>
        <v>0.9166666666666666</v>
      </c>
      <c r="G162" s="10">
        <v>44.5</v>
      </c>
      <c r="H162" s="10">
        <f>5760/G162</f>
        <v>129.43820224719101</v>
      </c>
      <c r="J162" s="10">
        <f>373.242/G162</f>
        <v>8.387460674157303</v>
      </c>
      <c r="K162" s="10">
        <f>J162*E162</f>
        <v>7.688505617977528</v>
      </c>
      <c r="L162" s="17">
        <f>21.5*12</f>
        <v>258</v>
      </c>
      <c r="M162" s="17">
        <v>21</v>
      </c>
      <c r="N162" s="8">
        <v>6</v>
      </c>
      <c r="O162" s="10">
        <f>(M162/20)+(N162/240)</f>
        <v>1.075</v>
      </c>
      <c r="Q162" s="10">
        <f>G162*O162</f>
        <v>47.8375</v>
      </c>
      <c r="R162" s="10">
        <v>47.8375</v>
      </c>
      <c r="S162" s="10">
        <f>(1000/373.242/E162)*R162</f>
        <v>139.8191083435509</v>
      </c>
      <c r="T162" s="10">
        <f>240/L162*K162</f>
        <v>7.152098249281421</v>
      </c>
      <c r="U162" s="8">
        <f>(S162/$S$18)*100</f>
        <v>324.46603192329195</v>
      </c>
      <c r="W162" s="20">
        <v>8.979</v>
      </c>
      <c r="X162" s="10">
        <v>119.8345114624633</v>
      </c>
      <c r="Y162" s="10">
        <f>(X162/W162)</f>
        <v>13.346086586753904</v>
      </c>
      <c r="AE162" s="10"/>
    </row>
    <row r="163" ht="12.75">
      <c r="AE163" s="10"/>
    </row>
    <row r="164" spans="1:31" ht="12.75">
      <c r="A164" s="1" t="s">
        <v>90</v>
      </c>
      <c r="B164" t="s">
        <v>136</v>
      </c>
      <c r="C164" s="17">
        <v>22</v>
      </c>
      <c r="D164" s="8">
        <v>0</v>
      </c>
      <c r="E164" s="16">
        <f>(C164+D164/4)/24</f>
        <v>0.9166666666666666</v>
      </c>
      <c r="G164" s="10">
        <v>44.5</v>
      </c>
      <c r="H164" s="10">
        <f>5760/G164</f>
        <v>129.43820224719101</v>
      </c>
      <c r="J164" s="10">
        <f>373.242/G164</f>
        <v>8.387460674157303</v>
      </c>
      <c r="K164" s="10">
        <f>J164*E164</f>
        <v>7.688505617977528</v>
      </c>
      <c r="L164" s="17">
        <f>21.5*12</f>
        <v>258</v>
      </c>
      <c r="M164" s="17">
        <v>21</v>
      </c>
      <c r="N164" s="8">
        <v>6</v>
      </c>
      <c r="O164" s="10">
        <f>(M164/20)+(N164/240)</f>
        <v>1.075</v>
      </c>
      <c r="Q164" s="10">
        <f>G164*O164</f>
        <v>47.8375</v>
      </c>
      <c r="R164" s="10">
        <f>44+(10/20)</f>
        <v>44.5</v>
      </c>
      <c r="S164" s="10">
        <f>(1000/373.242/E164)*R164</f>
        <v>130.06428683121015</v>
      </c>
      <c r="T164" s="10">
        <f>240/L164*K164</f>
        <v>7.152098249281421</v>
      </c>
      <c r="U164" s="8">
        <f>(S164/$S$18)*100</f>
        <v>301.8288669053879</v>
      </c>
      <c r="W164" s="20">
        <v>8.979</v>
      </c>
      <c r="X164" s="10">
        <v>130.06428683121015</v>
      </c>
      <c r="Y164" s="10">
        <f>(X164/W164)</f>
        <v>14.485386661232894</v>
      </c>
      <c r="AE164" s="10"/>
    </row>
    <row r="165" spans="1:31" ht="12.75">
      <c r="A165" s="1" t="s">
        <v>90</v>
      </c>
      <c r="B165" t="s">
        <v>120</v>
      </c>
      <c r="C165" s="17">
        <v>22</v>
      </c>
      <c r="D165" s="8">
        <v>0</v>
      </c>
      <c r="E165" s="16">
        <f>(C165+D165/4)/24</f>
        <v>0.9166666666666666</v>
      </c>
      <c r="G165" s="10">
        <v>89</v>
      </c>
      <c r="H165" s="10">
        <f>5760/G165</f>
        <v>64.71910112359551</v>
      </c>
      <c r="J165" s="10">
        <f>373.242/G165</f>
        <v>4.193730337078652</v>
      </c>
      <c r="K165" s="10">
        <f>J165*E165</f>
        <v>3.844252808988764</v>
      </c>
      <c r="L165" s="17">
        <f>(M165*12)+N165</f>
        <v>120</v>
      </c>
      <c r="M165" s="17">
        <v>10</v>
      </c>
      <c r="N165" s="8">
        <v>0</v>
      </c>
      <c r="O165" s="10">
        <f>(M165/20)+(N165/240)</f>
        <v>0.5</v>
      </c>
      <c r="Q165" s="10">
        <f>G165*O165</f>
        <v>44.5</v>
      </c>
      <c r="R165" s="10">
        <f>44+(10/20)</f>
        <v>44.5</v>
      </c>
      <c r="S165" s="10">
        <f>(1000/373.242/E165)*R165</f>
        <v>130.06428683121015</v>
      </c>
      <c r="T165" s="10">
        <f>240/L165*K165</f>
        <v>7.688505617977528</v>
      </c>
      <c r="U165" s="8">
        <f>(S165/$S$18)*100</f>
        <v>301.8288669053879</v>
      </c>
      <c r="W165" s="20">
        <v>8.979</v>
      </c>
      <c r="X165" s="10">
        <v>130.06428683121015</v>
      </c>
      <c r="Y165" s="10">
        <f>(X165/W165)</f>
        <v>14.485386661232894</v>
      </c>
      <c r="AE165" s="10"/>
    </row>
    <row r="166" ht="12.75">
      <c r="AE166" s="10"/>
    </row>
    <row r="167" spans="1:31" ht="12.75">
      <c r="A167" s="1" t="s">
        <v>91</v>
      </c>
      <c r="B167" t="s">
        <v>136</v>
      </c>
      <c r="C167" s="17">
        <v>22</v>
      </c>
      <c r="D167" s="8">
        <v>0</v>
      </c>
      <c r="E167" s="16">
        <f>(C167+D167/4)/24</f>
        <v>0.9166666666666666</v>
      </c>
      <c r="G167" s="10">
        <v>44.5</v>
      </c>
      <c r="H167" s="10">
        <f>5760/G167</f>
        <v>129.43820224719101</v>
      </c>
      <c r="J167" s="10">
        <f>373.242/G167</f>
        <v>8.387460674157303</v>
      </c>
      <c r="K167" s="10">
        <f>J167*E167</f>
        <v>7.688505617977528</v>
      </c>
      <c r="L167" s="17">
        <f>(M167*12)+N167</f>
        <v>252</v>
      </c>
      <c r="M167" s="17">
        <v>21</v>
      </c>
      <c r="N167" s="8">
        <v>0</v>
      </c>
      <c r="O167" s="10">
        <f>(M167/20)+(N167/240)</f>
        <v>1.05</v>
      </c>
      <c r="Q167" s="10">
        <f>G167*O167</f>
        <v>46.725</v>
      </c>
      <c r="R167" s="10">
        <f>46+(14/20)+(6/240)</f>
        <v>46.725</v>
      </c>
      <c r="S167" s="10">
        <f>(1000/373.242/E167)*R167</f>
        <v>136.56750117277068</v>
      </c>
      <c r="T167" s="10">
        <f>240/L167*K167</f>
        <v>7.32238630283574</v>
      </c>
      <c r="U167" s="8">
        <f>(S167/$S$18)*100</f>
        <v>316.92031025065734</v>
      </c>
      <c r="W167" s="20">
        <v>8.979</v>
      </c>
      <c r="X167" s="10">
        <v>136.56750117277068</v>
      </c>
      <c r="Y167" s="10">
        <f>(X167/W167)</f>
        <v>15.209655994294542</v>
      </c>
      <c r="AE167" s="10"/>
    </row>
    <row r="168" spans="1:31" ht="12.75">
      <c r="A168" s="1" t="s">
        <v>91</v>
      </c>
      <c r="B168" t="s">
        <v>137</v>
      </c>
      <c r="C168" s="17">
        <v>22</v>
      </c>
      <c r="D168" s="8">
        <v>0</v>
      </c>
      <c r="E168" s="16">
        <f>(C168+D168/4)/24</f>
        <v>0.9166666666666666</v>
      </c>
      <c r="G168" s="10">
        <v>89</v>
      </c>
      <c r="H168" s="10">
        <f>5760/G168</f>
        <v>64.71910112359551</v>
      </c>
      <c r="J168" s="10">
        <f>373.242/G168</f>
        <v>4.193730337078652</v>
      </c>
      <c r="K168" s="10">
        <f>J168*E168</f>
        <v>3.844252808988764</v>
      </c>
      <c r="L168" s="17">
        <f>(M168*12)+N168</f>
        <v>126</v>
      </c>
      <c r="M168" s="17">
        <v>10</v>
      </c>
      <c r="N168" s="8">
        <v>6</v>
      </c>
      <c r="O168" s="10">
        <f>(M168/20)+(N168/240)</f>
        <v>0.525</v>
      </c>
      <c r="Q168" s="10">
        <f>G168*O168</f>
        <v>46.725</v>
      </c>
      <c r="R168" s="10">
        <f>46+(14/20)+(6/240)</f>
        <v>46.725</v>
      </c>
      <c r="S168" s="10">
        <f>(1000/373.242/E168)*R168</f>
        <v>136.56750117277068</v>
      </c>
      <c r="T168" s="10">
        <f>240/L168*K168</f>
        <v>7.32238630283574</v>
      </c>
      <c r="U168" s="8">
        <f>(S168/$S$18)*100</f>
        <v>316.92031025065734</v>
      </c>
      <c r="W168" s="20">
        <v>8.979</v>
      </c>
      <c r="X168" s="10">
        <v>136.56750117277068</v>
      </c>
      <c r="Y168" s="10">
        <f>(X168/W168)</f>
        <v>15.209655994294542</v>
      </c>
      <c r="AE168" s="10"/>
    </row>
    <row r="169" spans="1:31" ht="12.75">
      <c r="A169" s="1" t="s">
        <v>91</v>
      </c>
      <c r="B169" t="s">
        <v>188</v>
      </c>
      <c r="C169" s="17">
        <v>22</v>
      </c>
      <c r="D169" s="8">
        <v>0</v>
      </c>
      <c r="E169" s="16">
        <f>(C169+D169/4)/24</f>
        <v>0.9166666666666666</v>
      </c>
      <c r="G169" s="10">
        <v>178</v>
      </c>
      <c r="H169" s="10">
        <f>5760/G169</f>
        <v>32.359550561797754</v>
      </c>
      <c r="J169" s="10">
        <f>373.242/G169</f>
        <v>2.096865168539326</v>
      </c>
      <c r="K169" s="10">
        <f>J169*E169</f>
        <v>1.922126404494382</v>
      </c>
      <c r="L169" s="17">
        <f>(M169*12)+N169</f>
        <v>63</v>
      </c>
      <c r="M169" s="17">
        <v>5</v>
      </c>
      <c r="N169" s="8">
        <v>3</v>
      </c>
      <c r="O169" s="10">
        <f>(M169/20)+(N169/240)</f>
        <v>0.2625</v>
      </c>
      <c r="Q169" s="10">
        <f>G169*O169</f>
        <v>46.725</v>
      </c>
      <c r="R169" s="10">
        <f>46+(14/20)+(6/240)</f>
        <v>46.725</v>
      </c>
      <c r="S169" s="10">
        <f>(1000/373.242/E169)*R169</f>
        <v>136.56750117277068</v>
      </c>
      <c r="T169" s="10">
        <f>240/L169*K169</f>
        <v>7.32238630283574</v>
      </c>
      <c r="U169" s="8">
        <f>(S169/$S$18)*100</f>
        <v>316.92031025065734</v>
      </c>
      <c r="W169" s="20">
        <v>8.979</v>
      </c>
      <c r="X169" s="10">
        <v>136.56750117277068</v>
      </c>
      <c r="Y169" s="10">
        <f>(X169/W169)</f>
        <v>15.209655994294542</v>
      </c>
      <c r="AE169" s="10"/>
    </row>
    <row r="170" ht="12.75">
      <c r="AE170" s="10"/>
    </row>
    <row r="171" spans="1:31" ht="12.75">
      <c r="A171" s="1" t="s">
        <v>92</v>
      </c>
      <c r="B171" t="s">
        <v>136</v>
      </c>
      <c r="C171" s="17">
        <v>22</v>
      </c>
      <c r="D171" s="8">
        <v>0</v>
      </c>
      <c r="E171" s="16">
        <f>(C171+D171/4)/24</f>
        <v>0.9166666666666666</v>
      </c>
      <c r="G171" s="10">
        <v>44.5</v>
      </c>
      <c r="H171" s="10">
        <f>5760/G171</f>
        <v>129.43820224719101</v>
      </c>
      <c r="J171" s="10">
        <f>373.242/G171</f>
        <v>8.387460674157303</v>
      </c>
      <c r="K171" s="10">
        <f>J171*E171</f>
        <v>7.688505617977528</v>
      </c>
      <c r="L171" s="17">
        <f>(M171*12)+N171</f>
        <v>252</v>
      </c>
      <c r="M171" s="17">
        <v>21</v>
      </c>
      <c r="N171" s="8">
        <v>0</v>
      </c>
      <c r="O171" s="10">
        <f>(M171/20)+(N171/240)</f>
        <v>1.05</v>
      </c>
      <c r="Q171" s="10">
        <f>G171*O171</f>
        <v>46.725</v>
      </c>
      <c r="R171" s="10">
        <f>46+(14/20)+(6/240)</f>
        <v>46.725</v>
      </c>
      <c r="S171" s="10">
        <f>(1000/373.242/E171)*R171</f>
        <v>136.56750117277068</v>
      </c>
      <c r="T171" s="10">
        <f>240/L171*K171</f>
        <v>7.32238630283574</v>
      </c>
      <c r="U171" s="8">
        <f>(S171/$S$18)*100</f>
        <v>316.92031025065734</v>
      </c>
      <c r="W171" s="20">
        <v>8.979</v>
      </c>
      <c r="X171" s="10">
        <v>136.56750117277068</v>
      </c>
      <c r="Y171" s="10">
        <f>(X171/W171)</f>
        <v>15.209655994294542</v>
      </c>
      <c r="AE171" s="10"/>
    </row>
    <row r="172" spans="1:31" ht="12.75">
      <c r="A172" s="1" t="s">
        <v>92</v>
      </c>
      <c r="B172" t="s">
        <v>137</v>
      </c>
      <c r="C172" s="17">
        <v>22</v>
      </c>
      <c r="D172" s="8">
        <v>0</v>
      </c>
      <c r="E172" s="16">
        <f>(C172+D172/4)/24</f>
        <v>0.9166666666666666</v>
      </c>
      <c r="G172" s="10">
        <v>89</v>
      </c>
      <c r="H172" s="10">
        <f>5760/G172</f>
        <v>64.71910112359551</v>
      </c>
      <c r="J172" s="10">
        <f>373.242/G172</f>
        <v>4.193730337078652</v>
      </c>
      <c r="K172" s="10">
        <f>J172*E172</f>
        <v>3.844252808988764</v>
      </c>
      <c r="L172" s="17">
        <f>(M172*12)+N172</f>
        <v>126</v>
      </c>
      <c r="M172" s="17">
        <v>10</v>
      </c>
      <c r="N172" s="8">
        <v>6</v>
      </c>
      <c r="O172" s="10">
        <f>(M172/20)+(N172/240)</f>
        <v>0.525</v>
      </c>
      <c r="Q172" s="10">
        <f>G172*O172</f>
        <v>46.725</v>
      </c>
      <c r="R172" s="10">
        <f>46+(14/20)+(6/240)</f>
        <v>46.725</v>
      </c>
      <c r="S172" s="10">
        <f>(1000/373.242/E172)*R172</f>
        <v>136.56750117277068</v>
      </c>
      <c r="T172" s="10">
        <f>240/L172*K172</f>
        <v>7.32238630283574</v>
      </c>
      <c r="U172" s="8">
        <f>(S172/$S$18)*100</f>
        <v>316.92031025065734</v>
      </c>
      <c r="W172" s="20">
        <v>8.979</v>
      </c>
      <c r="X172" s="10">
        <v>136.56750117277068</v>
      </c>
      <c r="Y172" s="10">
        <f>(X172/W172)</f>
        <v>15.209655994294542</v>
      </c>
      <c r="AE172" s="10"/>
    </row>
    <row r="173" spans="1:31" ht="12.75">
      <c r="A173" s="1" t="s">
        <v>92</v>
      </c>
      <c r="B173" t="s">
        <v>188</v>
      </c>
      <c r="C173" s="17">
        <v>22</v>
      </c>
      <c r="D173" s="8">
        <v>0</v>
      </c>
      <c r="E173" s="16">
        <f>(C173+D173/4)/24</f>
        <v>0.9166666666666666</v>
      </c>
      <c r="G173" s="10">
        <v>178</v>
      </c>
      <c r="H173" s="10">
        <f>5760/G173</f>
        <v>32.359550561797754</v>
      </c>
      <c r="J173" s="10">
        <f>373.242/G173</f>
        <v>2.096865168539326</v>
      </c>
      <c r="K173" s="10">
        <f>J173*E173</f>
        <v>1.922126404494382</v>
      </c>
      <c r="L173" s="17">
        <f>(M173*12)+N173</f>
        <v>63</v>
      </c>
      <c r="M173" s="17">
        <v>5</v>
      </c>
      <c r="N173" s="8">
        <v>3</v>
      </c>
      <c r="O173" s="10">
        <f>(M173/20)+(N173/240)</f>
        <v>0.2625</v>
      </c>
      <c r="Q173" s="10">
        <f>G173*O173</f>
        <v>46.725</v>
      </c>
      <c r="R173" s="10">
        <f>46+(14/20)+(6/240)</f>
        <v>46.725</v>
      </c>
      <c r="S173" s="10">
        <f>(1000/373.242/E173)*R173</f>
        <v>136.56750117277068</v>
      </c>
      <c r="T173" s="10">
        <f>240/L173*K173</f>
        <v>7.32238630283574</v>
      </c>
      <c r="U173" s="8">
        <f>(S173/$S$18)*100</f>
        <v>316.92031025065734</v>
      </c>
      <c r="W173" s="20">
        <v>8.979</v>
      </c>
      <c r="X173" s="10">
        <v>136.56750117277068</v>
      </c>
      <c r="Y173" s="10">
        <f>(X173/W173)</f>
        <v>15.209655994294542</v>
      </c>
      <c r="AE173" s="10"/>
    </row>
    <row r="174" ht="12.75">
      <c r="AE174" s="10"/>
    </row>
    <row r="175" spans="1:31" ht="12.75">
      <c r="A175" s="1" t="s">
        <v>93</v>
      </c>
      <c r="B175" t="s">
        <v>136</v>
      </c>
      <c r="C175" s="17">
        <v>22</v>
      </c>
      <c r="D175" s="8">
        <v>0</v>
      </c>
      <c r="E175" s="16">
        <f>(C175+D175/4)/24</f>
        <v>0.9166666666666666</v>
      </c>
      <c r="G175" s="10">
        <v>44.5</v>
      </c>
      <c r="H175" s="10">
        <f>5760/G175</f>
        <v>129.43820224719101</v>
      </c>
      <c r="J175" s="10">
        <f>373.242/G175</f>
        <v>8.387460674157303</v>
      </c>
      <c r="K175" s="10">
        <f>J175*E175</f>
        <v>7.688505617977528</v>
      </c>
      <c r="L175" s="17">
        <f>(M175*12)+N175</f>
        <v>252</v>
      </c>
      <c r="M175" s="17">
        <v>21</v>
      </c>
      <c r="N175" s="8">
        <v>0</v>
      </c>
      <c r="O175" s="10">
        <f>(M175/20)+(N175/240)</f>
        <v>1.05</v>
      </c>
      <c r="Q175" s="10">
        <f>G175*O175</f>
        <v>46.725</v>
      </c>
      <c r="R175" s="10">
        <f>46+(14/20)+(6/240)</f>
        <v>46.725</v>
      </c>
      <c r="S175" s="10">
        <f>(1000/373.242/E175)*R175</f>
        <v>136.56750117277068</v>
      </c>
      <c r="T175" s="10">
        <f>240/L175*K175</f>
        <v>7.32238630283574</v>
      </c>
      <c r="U175" s="8">
        <f>(S175/$S$18)*100</f>
        <v>316.92031025065734</v>
      </c>
      <c r="W175" s="20">
        <v>9.5583</v>
      </c>
      <c r="X175" s="10">
        <v>136.56750117277068</v>
      </c>
      <c r="Y175" s="10">
        <f>(X175/W175)</f>
        <v>14.287844195387327</v>
      </c>
      <c r="AE175" s="10"/>
    </row>
    <row r="176" spans="1:31" ht="12.75">
      <c r="A176" s="1" t="s">
        <v>93</v>
      </c>
      <c r="B176" t="s">
        <v>137</v>
      </c>
      <c r="C176" s="17">
        <v>22</v>
      </c>
      <c r="D176" s="8">
        <v>0</v>
      </c>
      <c r="E176" s="16">
        <f>(C176+D176/4)/24</f>
        <v>0.9166666666666666</v>
      </c>
      <c r="G176" s="10">
        <v>89</v>
      </c>
      <c r="H176" s="10">
        <f>5760/G176</f>
        <v>64.71910112359551</v>
      </c>
      <c r="J176" s="10">
        <f>373.242/G176</f>
        <v>4.193730337078652</v>
      </c>
      <c r="K176" s="10">
        <f>J176*E176</f>
        <v>3.844252808988764</v>
      </c>
      <c r="L176" s="17">
        <f>(M176*12)+N176</f>
        <v>126</v>
      </c>
      <c r="M176" s="17">
        <v>10</v>
      </c>
      <c r="N176" s="8">
        <v>6</v>
      </c>
      <c r="O176" s="10">
        <f>(M176/20)+(N176/240)</f>
        <v>0.525</v>
      </c>
      <c r="Q176" s="10">
        <f>G176*O176</f>
        <v>46.725</v>
      </c>
      <c r="R176" s="10">
        <f>46+(14/20)+(6/240)</f>
        <v>46.725</v>
      </c>
      <c r="S176" s="10">
        <f>(1000/373.242/E176)*R176</f>
        <v>136.56750117277068</v>
      </c>
      <c r="T176" s="10">
        <f>240/L176*K176</f>
        <v>7.32238630283574</v>
      </c>
      <c r="U176" s="8">
        <f>(S176/$S$18)*100</f>
        <v>316.92031025065734</v>
      </c>
      <c r="W176" s="20">
        <v>9.5583</v>
      </c>
      <c r="X176" s="10">
        <v>136.56750117277068</v>
      </c>
      <c r="Y176" s="10">
        <f>(X176/W176)</f>
        <v>14.287844195387327</v>
      </c>
      <c r="AE176" s="10"/>
    </row>
    <row r="177" spans="1:31" ht="12.75">
      <c r="A177" s="1" t="s">
        <v>93</v>
      </c>
      <c r="B177" t="s">
        <v>188</v>
      </c>
      <c r="C177" s="17">
        <v>22</v>
      </c>
      <c r="D177" s="8">
        <v>0</v>
      </c>
      <c r="E177" s="16">
        <f>(C177+D177/4)/24</f>
        <v>0.9166666666666666</v>
      </c>
      <c r="G177" s="10">
        <v>178</v>
      </c>
      <c r="H177" s="10">
        <f>5760/G177</f>
        <v>32.359550561797754</v>
      </c>
      <c r="J177" s="10">
        <f>373.242/G177</f>
        <v>2.096865168539326</v>
      </c>
      <c r="K177" s="10">
        <f>J177*E177</f>
        <v>1.922126404494382</v>
      </c>
      <c r="L177" s="17">
        <f>(M177*12)+N177</f>
        <v>63</v>
      </c>
      <c r="M177" s="17">
        <v>5</v>
      </c>
      <c r="N177" s="8">
        <v>3</v>
      </c>
      <c r="O177" s="10">
        <f>(M177/20)+(N177/240)</f>
        <v>0.2625</v>
      </c>
      <c r="Q177" s="10">
        <f>G177*O177</f>
        <v>46.725</v>
      </c>
      <c r="R177" s="10">
        <f>46+(14/20)+(6/240)</f>
        <v>46.725</v>
      </c>
      <c r="S177" s="10">
        <f>(1000/373.242/E177)*R177</f>
        <v>136.56750117277068</v>
      </c>
      <c r="T177" s="10">
        <f>240/L177*K177</f>
        <v>7.32238630283574</v>
      </c>
      <c r="U177" s="8">
        <f>(S177/$S$18)*100</f>
        <v>316.92031025065734</v>
      </c>
      <c r="W177" s="20">
        <v>9.5583</v>
      </c>
      <c r="X177" s="10">
        <v>136.56750117277068</v>
      </c>
      <c r="Y177" s="10">
        <f>(X177/W177)</f>
        <v>14.287844195387327</v>
      </c>
      <c r="AE177" s="10"/>
    </row>
    <row r="178" ht="12.75">
      <c r="AE178" s="10"/>
    </row>
    <row r="179" spans="1:31" ht="12.75">
      <c r="A179" s="1" t="s">
        <v>94</v>
      </c>
      <c r="B179" t="s">
        <v>199</v>
      </c>
      <c r="C179" s="17">
        <v>22</v>
      </c>
      <c r="D179" s="8">
        <v>0</v>
      </c>
      <c r="E179" s="16">
        <f>(C179+D179/4)/24</f>
        <v>0.9166666666666666</v>
      </c>
      <c r="G179" s="10">
        <v>46.75</v>
      </c>
      <c r="H179" s="10">
        <f>5760/G179</f>
        <v>123.20855614973262</v>
      </c>
      <c r="J179" s="10">
        <f>373.242/G179</f>
        <v>7.983786096256685</v>
      </c>
      <c r="K179" s="10">
        <f>J179*E179</f>
        <v>7.318470588235294</v>
      </c>
      <c r="L179" s="17">
        <v>240</v>
      </c>
      <c r="M179" s="17">
        <v>20</v>
      </c>
      <c r="N179" s="8">
        <v>0</v>
      </c>
      <c r="O179" s="10">
        <f>(M179/20)+(N179/240)</f>
        <v>1</v>
      </c>
      <c r="Q179" s="10">
        <f>G179*O179</f>
        <v>46.75</v>
      </c>
      <c r="R179" s="10">
        <f>46+(14/20)+(6/240)</f>
        <v>46.725</v>
      </c>
      <c r="S179" s="10">
        <f>(1000/373.242/E179)*R179</f>
        <v>136.56750117277068</v>
      </c>
      <c r="T179" s="10">
        <f>240/L179*K179</f>
        <v>7.318470588235294</v>
      </c>
      <c r="U179" s="8">
        <f>(S179/$S$18)*100</f>
        <v>316.92031025065734</v>
      </c>
      <c r="W179" s="20">
        <v>9.5583</v>
      </c>
      <c r="X179" s="10">
        <v>136.56750117277068</v>
      </c>
      <c r="Y179" s="10">
        <f>(X179/W179)</f>
        <v>14.287844195387327</v>
      </c>
      <c r="AE179" s="10"/>
    </row>
    <row r="180" ht="12.75">
      <c r="AE180" s="10"/>
    </row>
    <row r="181" ht="12.75">
      <c r="AE181" s="10"/>
    </row>
    <row r="182" ht="12.75">
      <c r="AE182" s="10"/>
    </row>
    <row r="183" spans="1:31" ht="12.75">
      <c r="A183" s="1" t="s">
        <v>172</v>
      </c>
      <c r="AE183" s="10"/>
    </row>
    <row r="184" ht="12.75">
      <c r="AE184" s="10"/>
    </row>
    <row r="185" spans="1:31" ht="12.75">
      <c r="A185" s="5" t="s">
        <v>9</v>
      </c>
      <c r="B185" s="10" t="s">
        <v>208</v>
      </c>
      <c r="AE185" s="10"/>
    </row>
    <row r="186" ht="12.75">
      <c r="AE186" s="10"/>
    </row>
    <row r="187" spans="1:31" ht="12.75">
      <c r="A187" s="1" t="s">
        <v>42</v>
      </c>
      <c r="B187" t="s">
        <v>141</v>
      </c>
      <c r="AE187" s="10"/>
    </row>
    <row r="188" ht="12.75">
      <c r="AE188" s="10"/>
    </row>
    <row r="189" ht="12.75">
      <c r="AE189" s="10"/>
    </row>
    <row r="190" ht="12.75">
      <c r="AE190" s="10"/>
    </row>
    <row r="191" ht="12.75">
      <c r="AE191" s="10"/>
    </row>
    <row r="192" ht="12.75">
      <c r="AE192" s="10"/>
    </row>
    <row r="193" ht="12.75">
      <c r="AE193" s="10"/>
    </row>
    <row r="194" ht="12.75">
      <c r="AE194" s="10"/>
    </row>
    <row r="195" ht="12.75">
      <c r="AE195" s="10"/>
    </row>
    <row r="196" ht="12.75">
      <c r="AE196" s="10"/>
    </row>
    <row r="197" ht="12.75">
      <c r="AE197" s="10"/>
    </row>
    <row r="198" ht="12.75">
      <c r="AE198" s="10"/>
    </row>
    <row r="199" ht="12.75">
      <c r="AE199" s="10"/>
    </row>
    <row r="200" ht="12.75">
      <c r="AE200" s="10"/>
    </row>
    <row r="201" ht="12.75">
      <c r="AE201" s="10"/>
    </row>
    <row r="202" ht="12.75">
      <c r="AE202" s="10"/>
    </row>
    <row r="203" ht="12.75">
      <c r="AE203" s="10"/>
    </row>
    <row r="204" ht="12.75">
      <c r="AE204" s="10"/>
    </row>
    <row r="205" ht="12.75">
      <c r="AE205" s="10"/>
    </row>
    <row r="206" ht="12.75">
      <c r="AE206" s="10"/>
    </row>
    <row r="207" ht="12.75">
      <c r="AE207" s="10"/>
    </row>
    <row r="208" ht="12.75">
      <c r="AE208" s="10"/>
    </row>
    <row r="209" ht="12.75">
      <c r="AE209" s="10"/>
    </row>
    <row r="210" ht="12.75">
      <c r="AE210" s="10"/>
    </row>
    <row r="211" ht="12.75">
      <c r="AE211" s="10"/>
    </row>
    <row r="212" ht="12.75">
      <c r="AE212" s="10"/>
    </row>
    <row r="213" ht="12.75">
      <c r="AE213" s="10"/>
    </row>
    <row r="214" ht="12.75">
      <c r="AE214" s="10"/>
    </row>
    <row r="215" ht="12.75">
      <c r="AE215" s="10"/>
    </row>
    <row r="216" ht="12.75">
      <c r="AE216" s="10"/>
    </row>
    <row r="217" ht="12.75">
      <c r="AE217" s="10"/>
    </row>
    <row r="218" ht="12.75">
      <c r="AE218" s="10"/>
    </row>
    <row r="219" ht="12.75">
      <c r="AE219" s="10"/>
    </row>
    <row r="220" ht="12.75">
      <c r="AE220" s="10"/>
    </row>
    <row r="221" ht="12.75">
      <c r="AE221" s="10"/>
    </row>
    <row r="222" ht="12.75">
      <c r="AE222" s="10"/>
    </row>
    <row r="223" ht="12.75">
      <c r="AE223" s="1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Munro</cp:lastModifiedBy>
  <dcterms:modified xsi:type="dcterms:W3CDTF">2008-10-23T21:33:42Z</dcterms:modified>
  <cp:category/>
  <cp:version/>
  <cp:contentType/>
  <cp:contentStatus/>
</cp:coreProperties>
</file>