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i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  <sheet name="Cambrai" sheetId="33" r:id="rId33"/>
    <sheet name="Leyden" sheetId="34" r:id="rId34"/>
    <sheet name="Linselles" sheetId="35" r:id="rId35"/>
    <sheet name="Fauquemont" sheetId="36" r:id="rId36"/>
    <sheet name="Zichem" sheetId="37" r:id="rId37"/>
    <sheet name="Neuve Eglise" sheetId="38" r:id="rId38"/>
    <sheet name="Hesdin" sheetId="39" r:id="rId39"/>
    <sheet name="Nieppe" sheetId="40" r:id="rId40"/>
    <sheet name="Messines" sheetId="41" r:id="rId41"/>
    <sheet name="Bailleul" sheetId="42" r:id="rId42"/>
    <sheet name="Eeke" sheetId="43" r:id="rId43"/>
    <sheet name="Armentières" sheetId="44" r:id="rId44"/>
    <sheet name="Rouen" sheetId="45" r:id="rId45"/>
  </sheets>
  <definedNames>
    <definedName name="_xlnm.Print_Titles" localSheetId="43">'Armentières'!$1:$2</definedName>
    <definedName name="_xlnm.Print_Titles" localSheetId="41">'Bailleul'!$1:$2</definedName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32">'Cambrai'!$1:$2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42">'Eeke'!$1:$2</definedName>
    <definedName name="_xlnm.Print_Titles" localSheetId="30">'Eeklo'!$1:$2</definedName>
    <definedName name="_xlnm.Print_Titles" localSheetId="35">'Fauquemont'!$1:$2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38">'Hesdin'!$1:$2</definedName>
    <definedName name="_xlnm.Print_Titles" localSheetId="33">'Leyden'!$1:$2</definedName>
    <definedName name="_xlnm.Print_Titles" localSheetId="27">'Lier'!$1:$2</definedName>
    <definedName name="_xlnm.Print_Titles" localSheetId="14">'Lille'!$1:$2</definedName>
    <definedName name="_xlnm.Print_Titles" localSheetId="34">'Linselles'!$1:$2</definedName>
    <definedName name="_xlnm.Print_Titles" localSheetId="8">'Mechelen'!$1:$2</definedName>
    <definedName name="_xlnm.Print_Titles" localSheetId="24">'Menin'!$1:$2</definedName>
    <definedName name="_xlnm.Print_Titles" localSheetId="40">'Messines'!$1:$2</definedName>
    <definedName name="_xlnm.Print_Titles" localSheetId="29">'Montivilliers'!$1:$2</definedName>
    <definedName name="_xlnm.Print_Titles" localSheetId="31">'Montreuil'!$1:$2</definedName>
    <definedName name="_xlnm.Print_Titles" localSheetId="37">'Neuve Eglise'!$1:$2</definedName>
    <definedName name="_xlnm.Print_Titles" localSheetId="39">'Nieppe'!$1:$2</definedName>
    <definedName name="_xlnm.Print_Titles" localSheetId="16">'Oudenaarde'!$1:$2</definedName>
    <definedName name="_xlnm.Print_Titles" localSheetId="44">'Rouen'!$1:$2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  <definedName name="_xlnm.Print_Titles" localSheetId="36">'Zichem'!$1:$2</definedName>
  </definedNames>
  <calcPr fullCalcOnLoad="1"/>
</workbook>
</file>

<file path=xl/sharedStrings.xml><?xml version="1.0" encoding="utf-8"?>
<sst xmlns="http://schemas.openxmlformats.org/spreadsheetml/2006/main" count="9601" uniqueCount="1735">
  <si>
    <t xml:space="preserve"> £ gr Flem</t>
  </si>
  <si>
    <t>26.5 ells worth £3 1s 10d groot Flemish while 1 cloth worth £3 13s 9d groot Flemish which yields 31.61 ells per cloth.</t>
  </si>
  <si>
    <t>Cost p/p of dyeing given as 10s 0d £ groot Flemish and p/p of "uter wulle te scheerne" given as 1s 4d £ groot Flemish.</t>
  </si>
  <si>
    <t xml:space="preserve"> in pond groot</t>
  </si>
  <si>
    <t>&amp; Finishing</t>
  </si>
  <si>
    <t>?</t>
  </si>
  <si>
    <t>[Bruges?] Small Grey Sealed Cloth</t>
  </si>
  <si>
    <t>[Gheloide] Vitse Lakenen</t>
  </si>
  <si>
    <t>[Narrow]</t>
  </si>
  <si>
    <t>127.326 d. groot</t>
  </si>
  <si>
    <t>19v</t>
  </si>
  <si>
    <t>22v</t>
  </si>
  <si>
    <t>Armentières</t>
  </si>
  <si>
    <t>Decimal £</t>
  </si>
  <si>
    <t>32505</t>
  </si>
  <si>
    <t>Algemeen Rijksarchief België, Rekenkamer</t>
  </si>
  <si>
    <t>Armentières Dark Green Cloth</t>
  </si>
  <si>
    <t>N.B. "3 + een stic = £10 11s 10d groot Flemish"  3 regulation cloths + 1 non regulation.  P/p may not be accurate.</t>
  </si>
  <si>
    <t>N.B. Cost "uter wulle te scheerne" given as 9s £ groot Flemish for this entry.</t>
  </si>
  <si>
    <t xml:space="preserve">N.B. Cost of dyeing given in 313:2.1.g as "17 blauwe laken rozeyt te vaerwene" £15 0s 0d groot Flemish; shearing 18s £ groot Flemish and tentering 21s £ groot Flemish. </t>
  </si>
  <si>
    <t>in £ gr</t>
  </si>
  <si>
    <t>in £ gr Fleming</t>
  </si>
  <si>
    <t>in £ groot</t>
  </si>
  <si>
    <t>£ Brabant</t>
  </si>
  <si>
    <t>£ H.P.</t>
  </si>
  <si>
    <t>£ Parisis</t>
  </si>
  <si>
    <t>écu: French gold coin with a shield, struck from 1336</t>
  </si>
  <si>
    <t>? red-based dye with alum? [zieden]</t>
  </si>
  <si>
    <t>? unknown</t>
  </si>
  <si>
    <t>16v</t>
  </si>
  <si>
    <t>17r</t>
  </si>
  <si>
    <t>18r</t>
  </si>
  <si>
    <t>18v</t>
  </si>
  <si>
    <t>19r</t>
  </si>
  <si>
    <t>20r</t>
  </si>
  <si>
    <t>20v</t>
  </si>
  <si>
    <t>21r</t>
  </si>
  <si>
    <t>21v</t>
  </si>
  <si>
    <t>22r</t>
  </si>
  <si>
    <t>23r</t>
  </si>
  <si>
    <t>25</t>
  </si>
  <si>
    <t>25r</t>
  </si>
  <si>
    <t>25v</t>
  </si>
  <si>
    <t>Armentières (SW Flanders: now in France)</t>
  </si>
  <si>
    <t>Cost to dye and shear for this and entry 340.1.e given as 26s £ groot Flemish</t>
  </si>
  <si>
    <t>N.B. 15 ells = 14s £ groot Flemish. Total value for this and following entry given as £5 10s 0d groot Flemish.</t>
  </si>
  <si>
    <t>N.B. Discrepancy 10 ells totalling £2 5s 0d groot Flemish but p/ell given as 5s per ell.  Total value probably £2 10s 0d groot Flemish but could be 9 ells.</t>
  </si>
  <si>
    <t>N.B. Discrepancy as p/ell given as 8d £ groot Flemish.</t>
  </si>
  <si>
    <t xml:space="preserve">N.B. Discrepancy as total value for this and following entry given as £9 17s 5d but p/p given as £1 5s 10d.  Have used p/ell of 1s .5d £ groot Flemish and total number of ells for each cloth for figures. </t>
  </si>
  <si>
    <t>N.B. Discrepancy as total value for this and following entry is given as £7 8s 5d which is yielded if p/ell is 1s 1d NOT 1s 2d £ groot Flemish.</t>
  </si>
  <si>
    <t>N.B. Discrepancy between p/p given of £1 17s 5d for this and following entry and p/p yielded from total value of £9 8s 2d groot of £1 17s 7.6d £ groot Flemish.</t>
  </si>
  <si>
    <t>N.B. Discrepancy between p/p given of £2 5s 10d and p/p yielded from formula of £2 5s 0d groot Flemish.</t>
  </si>
  <si>
    <t>N.B. Discrepancy between total value of £19 10s 0d [= £3 5s 0d p/p for 6 cloths] and p/p given of £3 10s 0d for 5 cloths and 1 at £3 5s 0d noted in square brackets.</t>
  </si>
  <si>
    <t>N.B. Discrepancy between total value of £4 3s 11d for 8 cloths and p/p given of 14s 0d? £ groot Flemish. 14s 0d p/p is yielded if 6 not 8 cloths.  If 14s 0d p/p then total value for 8 cloths is £5 12s 0d £ groot Flemish.</t>
  </si>
  <si>
    <t>N.B. Dyeing and Finishing costs given as 10 blues te vaerwene 14s 0d £ groot Flemish; uter wulle te sceerene 19s 8d £ groot Flemish; weder anne de rame te slane 12s 8d £ groot Flemish.</t>
  </si>
  <si>
    <t>N.B. Dyeing and finishing costs for this and following 3 entries given as "voors vitsen te vaerwen te stuerhooghe £6 16s 0d + te crempene + te scheerne uter wulle 10s gros"</t>
  </si>
  <si>
    <t>N.B. Dyeing costs for this and 327:1.1.c given as "dyeing 6 cloths [a + c] doncker groene £2 6s 0d groot Flemish zadde blaeuwe as doncker groene"</t>
  </si>
  <si>
    <t>N.B. New Town.  4 cloths totalling 125.75 ells in length gives 31.4375 ells per cloth length.  Discrepancy between total value given of £9 13s 10d groot Flemish and total value calculated of £9 8s 7.5d groot Flemish at 1s 6d per ell for 125.75 ells.</t>
  </si>
  <si>
    <t>N.B. Note on 333 bis: "Uem belaelt Jan Morilge van 4 donckere groene Hermantiersche lakenen omne de cleederinghe vane scadebeletters, menistruelen, ende castelelen van groene voorde, costen £12 10s 0d [groot Flemish]".</t>
  </si>
  <si>
    <t>N.B. Noted as same as above but p/ell of 1s 2.5d £ groot Flemish.</t>
  </si>
  <si>
    <t>N.B. P/p given as £1 16s 0d.  3 cloths total 92.5 ells or 30.83 ells per cloth. P/ell given as 1s 2d £ groot Flemish.</t>
  </si>
  <si>
    <t>N.B. Slight discrepancy as p/p given is £2 15 2d groot Flemish but formula yields £2 15s 1.3d groot Flemish.</t>
  </si>
  <si>
    <t>N.B. Slight discrepancy between p/p from formula and p/p given of £2 8s 11d groot Flemish.</t>
  </si>
  <si>
    <t>N.B. Slight discrepancy between p/p given of £1 19s 3d groot Flemish and one derived from dividing £13 14s 7d by 7 cloths which yields £1 19s 2.7d groot Flemish p/p. Also total value also given as £14 14s 7d groot Flemish.</t>
  </si>
  <si>
    <t>N.B. Slight discrepancy between p/p given of £1 19s 4d and p/p from formula of £1 19s 4.5d groot Flemish.  31.5 ells per cloth</t>
  </si>
  <si>
    <t>N.B. Slight discrepancy between p/p given of £2 10s 10d groot Flemish and that yielded by dividing total value of £17 16s 2d groot Flemish by # of pieces which yields £2 10s 10.57d groot Flemish p/p.</t>
  </si>
  <si>
    <t>N.B. Slight discrepancy between p/p given of £2 19s 2.5d groot Flemish and one derived from formula of 123.75 ells @ 23 gros per ell for four cloths gives p/p of £2 19s 3.6d groot Flemish.</t>
  </si>
  <si>
    <t>N.B. Slight discrepancy between p/p given of £2 9s 10d groot Flemish and that yielded from £18 14s 0d divided by 7.5 cloths of £2 9s 10.4d groot Flemish p/p.</t>
  </si>
  <si>
    <t>N.B. Slight discrepancy between p/p given of £3 13s 9d groot Flemish and that yielded by dividing value by # of pieces which yields £3 13s 9.5 groot Flemish.</t>
  </si>
  <si>
    <t>N.B. Slight discrepancy between total value for this and following entry of £74 0s 0d groot Flemish and sum of p/p which is £73 19s 6d groot Flemish.</t>
  </si>
  <si>
    <t>N.B. Slight discrepancy between total value given for this and following entry of £7 15s 5d and product of 133.25 ells @ 14d £ groot Flemish of £7 15s 5.5d.</t>
  </si>
  <si>
    <t>N.B. Slight discrepancy between total value of £2 5s 0d groot Flemish and product of 37.25 ells * 14.5d groot/ell.</t>
  </si>
  <si>
    <t>N.B. Slight discrepancy between total value of £3 16s 5d groot Flemish and product of 65 ells * 14d groot/ell.</t>
  </si>
  <si>
    <t>N.B. Total length of cloth given as 61.5 ells.  P/ell given as 1s 1d £ groot Flemish.</t>
  </si>
  <si>
    <t>N.B. Total number of ells 213.25 for 7 cloths yields 30.46 ells per cloth.  Slight discrepancy as p/p given as £2 9s 1d groot Flemish.</t>
  </si>
  <si>
    <t>N.B. Total number of ells for this and following entry is 168.  Yields 33.60 ells per cloth.  Slight discrepancy as p/p given is £1 19s 2d groot Flemish while formula yields p/p of £1 19s 2.4d groot Flemish.</t>
  </si>
  <si>
    <t>N.B. Total number of ells given as 119.25 ells for 4 cloths or 29.8125 ells per cloth at 2s £ groot Flemish per ell.  Total value of £11 18s 6d groot Flemish.</t>
  </si>
  <si>
    <t>N.B. Total number of ells given as 121.75 ells for 4 cloths or 30.4375 ells per cloth at 1s 6.5 d £ groot Flemish per ell. Total value of £9 7s 8d.</t>
  </si>
  <si>
    <t>N.B. Total value for this and entry 341:1.3.a + 341:1.3.b given as £12 19s 0d groot Flemish.</t>
  </si>
  <si>
    <t>N.B. Total value for this and following entry given as £10 17s 6d groot Flemish.  180 ells @ 14.5d £ groot Flemish p/ell.  36 ells per cloth.  Query if cloth from Neuve Eglise.</t>
  </si>
  <si>
    <t xml:space="preserve">N.B. Total value for this and following entry given as £135 0s 0d.  Finishing costs for this and following entry given as "plus 20s uter wulle te scherne". </t>
  </si>
  <si>
    <t>N.B. Total value for this and following entry given as £4 6s 3d groot Flemish, from formulae total value works out as £4 6s 3.5d groot Flemish.</t>
  </si>
  <si>
    <t>N.B. Total value for this and following entry given as £6 1s 8d groot Flemish, correct if only 2 cloths not 3. Unlikely to have been for poor too expensive.</t>
  </si>
  <si>
    <t>N.B. Total value of this and following entry given as £6 5s 4d groot Flemish.</t>
  </si>
  <si>
    <t>N.B. Two white cloths 1 of 32 ells + 1 of 36.25 ells at 14d £ groot Flemish per ell.</t>
  </si>
  <si>
    <t>N.B. Uncertain whether from Bruges. At 2s per ell then 26 ells per cloth @ £2 12s 0d groot Flemish p/p.</t>
  </si>
  <si>
    <t xml:space="preserve">N.B. Value of dyeing and finishing given as "van rooden den vaerwene vanden voors blaeuwe [sic] lakene te st' koudere omne zwart te makene"  33s 7d £ groot Flemish. </t>
  </si>
  <si>
    <t>Number of ells per cloth is 26.64 if total value for 2 cloth is £3 19s 11d groot Flemish and p/ell is 1s 7d £ groot Flemish.</t>
  </si>
  <si>
    <t>Query whether total value for this and following two entries is £6 18s 9d groot Flemish.</t>
  </si>
  <si>
    <t>Total value for this and following entry given as £127 10s 0d.  Cost p/p of dyeing given as 16s 0d £ groot Flemish and cost p/p "uter wulle te scherne" given as 1s 4d £ groot Flemish.</t>
  </si>
  <si>
    <t>gemingd = mellé = medley cloths (differently coloured wools)</t>
  </si>
  <si>
    <t>to £ groot</t>
  </si>
  <si>
    <t>£ groot</t>
  </si>
  <si>
    <t xml:space="preserve">£ groot </t>
  </si>
  <si>
    <t>? keepers of the chamber (camera)? [or woolcomb makers?: kam = woolcomb]</t>
  </si>
  <si>
    <t>305.1.a</t>
  </si>
  <si>
    <t>305.1.b</t>
  </si>
  <si>
    <t>305.2.a</t>
  </si>
  <si>
    <t>305.2.b</t>
  </si>
  <si>
    <t>305.3.a</t>
  </si>
  <si>
    <t>305.3.a.i</t>
  </si>
  <si>
    <t>305.3.a.ii</t>
  </si>
  <si>
    <t>305.3.b</t>
  </si>
  <si>
    <t>305.4.a</t>
  </si>
  <si>
    <t>305.4.b</t>
  </si>
  <si>
    <t>305.5</t>
  </si>
  <si>
    <t>305.6</t>
  </si>
  <si>
    <t>305.7</t>
  </si>
  <si>
    <t>305.8</t>
  </si>
  <si>
    <t>306.1.a</t>
  </si>
  <si>
    <t>306.1.b</t>
  </si>
  <si>
    <t>307.1.a.i</t>
  </si>
  <si>
    <t>307.1.a.ii</t>
  </si>
  <si>
    <t>307.1.b</t>
  </si>
  <si>
    <t>307.1.c</t>
  </si>
  <si>
    <t>307.1.d</t>
  </si>
  <si>
    <t>307.2</t>
  </si>
  <si>
    <t>307.3</t>
  </si>
  <si>
    <t>307.4</t>
  </si>
  <si>
    <t>308.1.a</t>
  </si>
  <si>
    <t>308.1.b</t>
  </si>
  <si>
    <t>309.1.a.i</t>
  </si>
  <si>
    <t>309.1.a.ii</t>
  </si>
  <si>
    <t>309.1.b</t>
  </si>
  <si>
    <t>309.1.c</t>
  </si>
  <si>
    <t>309.1.d</t>
  </si>
  <si>
    <t>309.2</t>
  </si>
  <si>
    <t>309.3.a</t>
  </si>
  <si>
    <t>309.3.b</t>
  </si>
  <si>
    <t>309.4</t>
  </si>
  <si>
    <t>310.1.a</t>
  </si>
  <si>
    <t>310.1.b</t>
  </si>
  <si>
    <t>310.1.c</t>
  </si>
  <si>
    <t>310.1.d</t>
  </si>
  <si>
    <t>311.1.a.i</t>
  </si>
  <si>
    <t>311.1.a.ii</t>
  </si>
  <si>
    <t>311.1.b</t>
  </si>
  <si>
    <t>311.1.c</t>
  </si>
  <si>
    <t>311.1.d</t>
  </si>
  <si>
    <t>311.2</t>
  </si>
  <si>
    <t>311.3</t>
  </si>
  <si>
    <t>311.4</t>
  </si>
  <si>
    <t>312.1.a</t>
  </si>
  <si>
    <t>312.1.b</t>
  </si>
  <si>
    <t>312.1.c</t>
  </si>
  <si>
    <t>312.1.d</t>
  </si>
  <si>
    <t>313.1.a</t>
  </si>
  <si>
    <t>313.1.b</t>
  </si>
  <si>
    <t>313.1.c</t>
  </si>
  <si>
    <t>313.1.d</t>
  </si>
  <si>
    <t>313.1.e</t>
  </si>
  <si>
    <t>313.2</t>
  </si>
  <si>
    <t>313.3</t>
  </si>
  <si>
    <t>313.4</t>
  </si>
  <si>
    <t>314.1.a</t>
  </si>
  <si>
    <t>314.1.b</t>
  </si>
  <si>
    <t>315.1.a</t>
  </si>
  <si>
    <t>315.1.b</t>
  </si>
  <si>
    <t>315.1.c</t>
  </si>
  <si>
    <t>315.2</t>
  </si>
  <si>
    <t>315.3.a</t>
  </si>
  <si>
    <t>315.3.b</t>
  </si>
  <si>
    <t>315.4</t>
  </si>
  <si>
    <t>315.5</t>
  </si>
  <si>
    <t>316.1.a</t>
  </si>
  <si>
    <t>316.1.b</t>
  </si>
  <si>
    <t>317.1.a</t>
  </si>
  <si>
    <t>317.1.b</t>
  </si>
  <si>
    <t>317.1.c</t>
  </si>
  <si>
    <t>317.1.d</t>
  </si>
  <si>
    <t>317.2</t>
  </si>
  <si>
    <t>317.3</t>
  </si>
  <si>
    <t>317.5</t>
  </si>
  <si>
    <t>317.6.a</t>
  </si>
  <si>
    <t>317.7.a</t>
  </si>
  <si>
    <t>317.7.b</t>
  </si>
  <si>
    <t>317.7.c</t>
  </si>
  <si>
    <t>317.7.d</t>
  </si>
  <si>
    <t>318.1.a</t>
  </si>
  <si>
    <t>318.1.b</t>
  </si>
  <si>
    <t>319.1.a</t>
  </si>
  <si>
    <t>319.1.b</t>
  </si>
  <si>
    <t>319.1.c</t>
  </si>
  <si>
    <t>319.1.d</t>
  </si>
  <si>
    <t>319.2</t>
  </si>
  <si>
    <t>319.3.a</t>
  </si>
  <si>
    <t>319.3.b</t>
  </si>
  <si>
    <t>319.4</t>
  </si>
  <si>
    <t>319.5.a</t>
  </si>
  <si>
    <t>319.5.b</t>
  </si>
  <si>
    <t>319.6</t>
  </si>
  <si>
    <t>320.1.a</t>
  </si>
  <si>
    <t>320.1.b.i</t>
  </si>
  <si>
    <t>320.1.b.ii</t>
  </si>
  <si>
    <t>320.1.c</t>
  </si>
  <si>
    <t>321.1.a</t>
  </si>
  <si>
    <t>321.1.b</t>
  </si>
  <si>
    <t>321.1.c</t>
  </si>
  <si>
    <t>321.1.d</t>
  </si>
  <si>
    <t>321.1.e</t>
  </si>
  <si>
    <t>321.2</t>
  </si>
  <si>
    <t>321.3</t>
  </si>
  <si>
    <t>321.4</t>
  </si>
  <si>
    <t>321.8</t>
  </si>
  <si>
    <t>322.1.a</t>
  </si>
  <si>
    <t>322.1.b</t>
  </si>
  <si>
    <t>322.1.c</t>
  </si>
  <si>
    <t>323.1.a</t>
  </si>
  <si>
    <t>323.1.b</t>
  </si>
  <si>
    <t>323.2</t>
  </si>
  <si>
    <t>323.3</t>
  </si>
  <si>
    <t>323.4</t>
  </si>
  <si>
    <t>323.5.a</t>
  </si>
  <si>
    <t>323.5.b</t>
  </si>
  <si>
    <t>324.1.a</t>
  </si>
  <si>
    <t>324.1.b</t>
  </si>
  <si>
    <t>325.1.a</t>
  </si>
  <si>
    <t>325.1.b</t>
  </si>
  <si>
    <t>325.1.c</t>
  </si>
  <si>
    <t>325.1.d</t>
  </si>
  <si>
    <t>325.2</t>
  </si>
  <si>
    <t>32506</t>
  </si>
  <si>
    <t>32507</t>
  </si>
  <si>
    <t>32508</t>
  </si>
  <si>
    <t>32509</t>
  </si>
  <si>
    <t>32510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</si>
  <si>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</si>
  <si>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</si>
  <si>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</si>
  <si>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</si>
  <si>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</si>
  <si>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</si>
  <si>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</si>
  <si>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</si>
  <si>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</si>
  <si>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32522</t>
  </si>
  <si>
    <t>32523</t>
  </si>
  <si>
    <t>32524</t>
  </si>
  <si>
    <t>32525</t>
  </si>
  <si>
    <t>32526</t>
  </si>
  <si>
    <t>326.1.a</t>
  </si>
  <si>
    <t>326.1.b</t>
  </si>
  <si>
    <t>327.1.a</t>
  </si>
  <si>
    <t>327.1.b</t>
  </si>
  <si>
    <t>327.1.c</t>
  </si>
  <si>
    <t>327.1.d</t>
  </si>
  <si>
    <t>327.1.e</t>
  </si>
  <si>
    <t>327.2</t>
  </si>
  <si>
    <t>327.3</t>
  </si>
  <si>
    <t>327.4</t>
  </si>
  <si>
    <t>327.4.a</t>
  </si>
  <si>
    <t>327.5.a</t>
  </si>
  <si>
    <t>327.5.b</t>
  </si>
  <si>
    <t>327.5.c</t>
  </si>
  <si>
    <t>327.6</t>
  </si>
  <si>
    <t>328.1.a</t>
  </si>
  <si>
    <t>328.1.b</t>
  </si>
  <si>
    <t>328.2</t>
  </si>
  <si>
    <t>328.3</t>
  </si>
  <si>
    <t>329.1.a</t>
  </si>
  <si>
    <t>329.1.b</t>
  </si>
  <si>
    <t>329.1.c</t>
  </si>
  <si>
    <t>329.2</t>
  </si>
  <si>
    <t>329.3</t>
  </si>
  <si>
    <t>329.4</t>
  </si>
  <si>
    <t>329.5</t>
  </si>
  <si>
    <t>329.6.a</t>
  </si>
  <si>
    <t>329.6.b</t>
  </si>
  <si>
    <t>329.6.c</t>
  </si>
  <si>
    <t>330.1.a</t>
  </si>
  <si>
    <t>330.1.b</t>
  </si>
  <si>
    <t>331.1.a</t>
  </si>
  <si>
    <t>331.1.b</t>
  </si>
  <si>
    <t>331.1.c</t>
  </si>
  <si>
    <t>331.1.d</t>
  </si>
  <si>
    <t>331.2</t>
  </si>
  <si>
    <t>331.3</t>
  </si>
  <si>
    <t>331.4</t>
  </si>
  <si>
    <t>332.1.a</t>
  </si>
  <si>
    <t>333.1.a</t>
  </si>
  <si>
    <t>333.1.b</t>
  </si>
  <si>
    <t>333.2</t>
  </si>
  <si>
    <t>333.3</t>
  </si>
  <si>
    <t>333.4</t>
  </si>
  <si>
    <t>334.1.a</t>
  </si>
  <si>
    <t>334.1.b</t>
  </si>
  <si>
    <t>334.1.c</t>
  </si>
  <si>
    <t>334.1.d</t>
  </si>
  <si>
    <t>335.1.a + b</t>
  </si>
  <si>
    <t>335.2</t>
  </si>
  <si>
    <t>335.3</t>
  </si>
  <si>
    <t>335.4</t>
  </si>
  <si>
    <t>335.5</t>
  </si>
  <si>
    <t>335.6.a</t>
  </si>
  <si>
    <t>335.6.b</t>
  </si>
  <si>
    <t>335.7</t>
  </si>
  <si>
    <t>335.8.a</t>
  </si>
  <si>
    <t>335.8.b</t>
  </si>
  <si>
    <t>335.9</t>
  </si>
  <si>
    <t>336.1.a</t>
  </si>
  <si>
    <t>336.1.b</t>
  </si>
  <si>
    <t>337.1.a</t>
  </si>
  <si>
    <t>337.1.b</t>
  </si>
  <si>
    <t>337.2.a</t>
  </si>
  <si>
    <t>337.2.b</t>
  </si>
  <si>
    <t>337.2.c</t>
  </si>
  <si>
    <t>337.2.d</t>
  </si>
  <si>
    <t>337.2.e</t>
  </si>
  <si>
    <t>337.3</t>
  </si>
  <si>
    <t>337.4</t>
  </si>
  <si>
    <t>337.5.a</t>
  </si>
  <si>
    <t>337.5.b</t>
  </si>
  <si>
    <t>337.6</t>
  </si>
  <si>
    <t>338.1.a</t>
  </si>
  <si>
    <t>338.1.b</t>
  </si>
  <si>
    <t>339.1</t>
  </si>
  <si>
    <t>339.2.a</t>
  </si>
  <si>
    <t>339.2.b</t>
  </si>
  <si>
    <t>339.3.a</t>
  </si>
  <si>
    <t>339.3.b</t>
  </si>
  <si>
    <t>339.4</t>
  </si>
  <si>
    <t>339.5</t>
  </si>
  <si>
    <t>340.1.a</t>
  </si>
  <si>
    <t>340.1.b</t>
  </si>
  <si>
    <t>340.1.c</t>
  </si>
  <si>
    <t>340.1.d</t>
  </si>
  <si>
    <t>340.1.e</t>
  </si>
  <si>
    <t>341.1.a</t>
  </si>
  <si>
    <t>341.1.b</t>
  </si>
  <si>
    <t>341.2.a</t>
  </si>
  <si>
    <t>341.2.b</t>
  </si>
  <si>
    <t>341.3.a</t>
  </si>
  <si>
    <t>341.3.b</t>
  </si>
  <si>
    <t>341.4</t>
  </si>
  <si>
    <t>342.1.a</t>
  </si>
  <si>
    <t>342.1.b</t>
  </si>
  <si>
    <t>342.1.c</t>
  </si>
  <si>
    <t>343.1.a</t>
  </si>
  <si>
    <t>343.1.b</t>
  </si>
  <si>
    <t>343.2.a</t>
  </si>
  <si>
    <t>343.2.b</t>
  </si>
  <si>
    <t>343.2.c</t>
  </si>
  <si>
    <t>343.2.d</t>
  </si>
  <si>
    <t>343.3.a</t>
  </si>
  <si>
    <t>343.3.b</t>
  </si>
  <si>
    <t>343.4</t>
  </si>
  <si>
    <t>344.1.a</t>
  </si>
  <si>
    <t>344.1.b.i</t>
  </si>
  <si>
    <t>344.1.b.ii</t>
  </si>
  <si>
    <t>344.1.b.iii</t>
  </si>
  <si>
    <t>345.1.b</t>
  </si>
  <si>
    <t>345.1.c</t>
  </si>
  <si>
    <t>345.2.a</t>
  </si>
  <si>
    <t>345.2.b</t>
  </si>
  <si>
    <t>345.2.c</t>
  </si>
  <si>
    <t>345.3.a</t>
  </si>
  <si>
    <t>345.3.b</t>
  </si>
  <si>
    <t>345.3.c</t>
  </si>
  <si>
    <t>345.3.d</t>
  </si>
  <si>
    <t>345.4</t>
  </si>
  <si>
    <t>345.5</t>
  </si>
  <si>
    <t>346.1.a</t>
  </si>
  <si>
    <t>346.1.b</t>
  </si>
  <si>
    <t>346.1.c</t>
  </si>
  <si>
    <t>35520</t>
  </si>
  <si>
    <t>35521</t>
  </si>
  <si>
    <t>4 Menestruele</t>
  </si>
  <si>
    <t>4 Menestruelen + 5 Messagie</t>
  </si>
  <si>
    <t>4 Menestuelen</t>
  </si>
  <si>
    <t>43r</t>
  </si>
  <si>
    <t>44v</t>
  </si>
  <si>
    <t>52r</t>
  </si>
  <si>
    <t>52v</t>
  </si>
  <si>
    <t>53r</t>
  </si>
  <si>
    <t>54v</t>
  </si>
  <si>
    <t>55r</t>
  </si>
  <si>
    <t>57v</t>
  </si>
  <si>
    <t>Armentières Cloth</t>
  </si>
  <si>
    <t>ash-coloured (De Poerck: 'la même chose que afr. cendré ?); but possibly also sanguine</t>
  </si>
  <si>
    <t>a very cheap worsted type of cloth (of ancient origins)</t>
  </si>
  <si>
    <t>AB</t>
  </si>
  <si>
    <t>ABM</t>
  </si>
  <si>
    <t>ABSC</t>
  </si>
  <si>
    <t>accolleyen, acoleye</t>
  </si>
  <si>
    <t>Account</t>
  </si>
  <si>
    <t>Acoleyen Blue</t>
  </si>
  <si>
    <t>aerme lieden</t>
  </si>
  <si>
    <t>Aerme Lieden</t>
  </si>
  <si>
    <t>aerzidine, haerzidene</t>
  </si>
  <si>
    <t>AL</t>
  </si>
  <si>
    <t>also: lining of clothing, interior clothing? Or voeder: feeding, and thus dinner clothing?</t>
  </si>
  <si>
    <t>and Dyeing</t>
  </si>
  <si>
    <t>and Finishing</t>
  </si>
  <si>
    <t>and Handling Costs</t>
  </si>
  <si>
    <t>and Remarks</t>
  </si>
  <si>
    <t>appelbloesemen</t>
  </si>
  <si>
    <t>apple blossom</t>
  </si>
  <si>
    <t xml:space="preserve">Apple Blossom </t>
  </si>
  <si>
    <t>Apple Blossom Medley</t>
  </si>
  <si>
    <t>Apple Blossom Scarlet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</si>
  <si>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</si>
  <si>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</si>
  <si>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</si>
  <si>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</si>
  <si>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</si>
  <si>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</si>
  <si>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</si>
  <si>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</si>
  <si>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</si>
  <si>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</si>
  <si>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</si>
  <si>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</si>
  <si>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</si>
  <si>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</si>
  <si>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</si>
  <si>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</si>
  <si>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</si>
  <si>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B1A</t>
  </si>
  <si>
    <t>B1C</t>
  </si>
  <si>
    <t>B1H</t>
  </si>
  <si>
    <t>B1HSC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</si>
  <si>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</si>
  <si>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</si>
  <si>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</si>
  <si>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</si>
  <si>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</si>
  <si>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</si>
  <si>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</si>
  <si>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</si>
  <si>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</si>
  <si>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B1T</t>
  </si>
  <si>
    <t>B1TL</t>
  </si>
  <si>
    <t>B1V</t>
  </si>
  <si>
    <t>B1W</t>
  </si>
  <si>
    <t>B1Z</t>
  </si>
  <si>
    <t>B1Z + G1</t>
  </si>
  <si>
    <t>B1ZMR</t>
  </si>
  <si>
    <t>B2</t>
  </si>
  <si>
    <t>B2A</t>
  </si>
  <si>
    <t>B2G1</t>
  </si>
  <si>
    <t>B2G2</t>
  </si>
  <si>
    <t>B2L</t>
  </si>
  <si>
    <t>B2M</t>
  </si>
  <si>
    <t>B2MA</t>
  </si>
  <si>
    <t>B2MR</t>
  </si>
  <si>
    <t>B2MR + G1Z</t>
  </si>
  <si>
    <t>B2MSC</t>
  </si>
  <si>
    <t>B2S</t>
  </si>
  <si>
    <t>B2SL</t>
  </si>
  <si>
    <t>B2SLSC</t>
  </si>
  <si>
    <t>B2VB</t>
  </si>
  <si>
    <t>B2YSLSC</t>
  </si>
  <si>
    <t>B2Z</t>
  </si>
  <si>
    <t>B3</t>
  </si>
  <si>
    <t>bailiff</t>
  </si>
  <si>
    <t>Bailleul</t>
  </si>
  <si>
    <t>Bailleul Cloth</t>
  </si>
  <si>
    <t>Bailleul Green Cloth</t>
  </si>
  <si>
    <t>Bailleul Grey Cloth</t>
  </si>
  <si>
    <t>Bailleul Grey White Cloth</t>
  </si>
  <si>
    <t>Bailleul White Cloth</t>
  </si>
  <si>
    <t>Bailleul?</t>
  </si>
  <si>
    <t>bailliu</t>
  </si>
  <si>
    <t>Bailliu</t>
  </si>
  <si>
    <t>BaL</t>
  </si>
  <si>
    <t>Basket in d gr</t>
  </si>
  <si>
    <t>bellaerden</t>
  </si>
  <si>
    <t>Belle = Bailleul (SW Flanders, now in France)</t>
  </si>
  <si>
    <t>Belsch Graeu Laken</t>
  </si>
  <si>
    <t>Belsche</t>
  </si>
  <si>
    <t>Belsche Graeuwe Laken</t>
  </si>
  <si>
    <t>Belsche Graeuwe Lakene</t>
  </si>
  <si>
    <t>Belsche Graeuwe Lakenen</t>
  </si>
  <si>
    <t>Belsche Groen Laken</t>
  </si>
  <si>
    <t>Belsche Wit Duker Laken</t>
  </si>
  <si>
    <t>Belsche Witte Graeuwe Laken</t>
  </si>
  <si>
    <t>bereet</t>
  </si>
  <si>
    <t>bescrevene</t>
  </si>
  <si>
    <t>black</t>
  </si>
  <si>
    <t>Black</t>
  </si>
  <si>
    <t>Black Cloth</t>
  </si>
  <si>
    <t>Blaeu Laken</t>
  </si>
  <si>
    <t>Blaeu Laken zwart te vaerwene ende uter wulle te doen scheerne</t>
  </si>
  <si>
    <t>Blaeuwe [Neuve Eglise?] Laken</t>
  </si>
  <si>
    <t>Blaeuwe Bruchsche Laken</t>
  </si>
  <si>
    <t>Blaeuwe Fine Bruchsch Lakenen te vaerwene groene</t>
  </si>
  <si>
    <t>Blaeuwe Fine Bruchsch Lakenen te vaerwene persch</t>
  </si>
  <si>
    <t>Blaeuwe Fine Bruchsche Laken</t>
  </si>
  <si>
    <t>Blaeuwe Laken</t>
  </si>
  <si>
    <t>Blaeuwe Lakenen [Neuve Eglise?]</t>
  </si>
  <si>
    <t>Blaeuwe Nieukeersche Laken</t>
  </si>
  <si>
    <t>Blaeuwe Nipkeersche Lakenen</t>
  </si>
  <si>
    <t>Blaeuwe Smalle Laken</t>
  </si>
  <si>
    <t>Blaeuwe Wervicxsche Lakene</t>
  </si>
  <si>
    <t>blaeuwen</t>
  </si>
  <si>
    <t>blue</t>
  </si>
  <si>
    <t>Blue</t>
  </si>
  <si>
    <t>Blue Cloth</t>
  </si>
  <si>
    <t>Blue Cloth to be dyed Black and sheared</t>
  </si>
  <si>
    <t>Blue Medley</t>
  </si>
  <si>
    <t>Blue Scarlet Cloth</t>
  </si>
  <si>
    <t>Blue Small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</si>
  <si>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</si>
  <si>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</si>
  <si>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</si>
  <si>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</si>
  <si>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breede, breeden, breet</t>
  </si>
  <si>
    <t>BrG</t>
  </si>
  <si>
    <t>bright, vivid blue</t>
  </si>
  <si>
    <t>BrL</t>
  </si>
  <si>
    <t>BrL + UL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</si>
  <si>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</si>
  <si>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</si>
  <si>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</si>
  <si>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</si>
  <si>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</si>
  <si>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</si>
  <si>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Green</t>
  </si>
  <si>
    <t>Brown Grey</t>
  </si>
  <si>
    <t>Brown Medley</t>
  </si>
  <si>
    <t>Brown Medley Cloth</t>
  </si>
  <si>
    <t>Brown Murrey Cloth</t>
  </si>
  <si>
    <t>Brown Sanguine</t>
  </si>
  <si>
    <t>Brown Scarlet Medley</t>
  </si>
  <si>
    <t>Brown Scarlet with Yellow Stripe</t>
  </si>
  <si>
    <t>Brown Striped Cloth</t>
  </si>
  <si>
    <t>Brown Vetch Blossom</t>
  </si>
  <si>
    <t>BrSL</t>
  </si>
  <si>
    <t>Bruch Graeu Laken Gheheeten Wulvekin</t>
  </si>
  <si>
    <t>Bruchsche Fine Zadde Blaeuwe Laken die ghedaen vaerwen doncker groene</t>
  </si>
  <si>
    <t>Bruchsche Mijnselen Laken</t>
  </si>
  <si>
    <t>Bruchsche Roode Grauwe Lakenen</t>
  </si>
  <si>
    <t>Bruchsche Smalle Graeuwe Laken</t>
  </si>
  <si>
    <t>Bruchsche Vitse [Vetch Blossom] Lakenen te vaerwen + te crempene + te scheerne</t>
  </si>
  <si>
    <t>Bruchsche Vitsen Laken te vaerwene te crempene + te scheerne</t>
  </si>
  <si>
    <t>Bruchsche Zwarte Lakenen</t>
  </si>
  <si>
    <t>Bruecelsch</t>
  </si>
  <si>
    <t>Bruges</t>
  </si>
  <si>
    <t>Bruges - Main</t>
  </si>
  <si>
    <t>Bruges [?] Green Cloth</t>
  </si>
  <si>
    <t>Bruges [Cuerlaken] Cloth</t>
  </si>
  <si>
    <t>Bruges + ?</t>
  </si>
  <si>
    <t>Bruges Black Cloth</t>
  </si>
  <si>
    <t>Bruges Blue Cloth</t>
  </si>
  <si>
    <t>Bruges Brown Medley Cloth</t>
  </si>
  <si>
    <t>Bruges Cheap Grey Cloth</t>
  </si>
  <si>
    <t>Bruges Cloth</t>
  </si>
  <si>
    <t>BRUGES CLOTH PRICES: Prices of Woollen Cloths Purchased for Bruges Civic Officials and Others, 1402-1496</t>
  </si>
  <si>
    <t>Bruges Fine Black Cloth</t>
  </si>
  <si>
    <t>Bruges Fine Blue Cloth</t>
  </si>
  <si>
    <t>Bruges Fine Blue Cloth dyed Green</t>
  </si>
  <si>
    <t>Bruges Fine Blue Cloth dyed Perse</t>
  </si>
  <si>
    <t>Bruges FIne Blue Cloth to be dyed and finished</t>
  </si>
  <si>
    <t>Bruges Fine Blue Cloth to be dyed Black</t>
  </si>
  <si>
    <t>Bruges Fine Blue Cloth to be dyed Rose</t>
  </si>
  <si>
    <t>Bruges Fine Blue Cloth to be sheared</t>
  </si>
  <si>
    <t>Bruges Fine Brown Grey Cloth</t>
  </si>
  <si>
    <t>Bruges Fine Brown Medley Cloth</t>
  </si>
  <si>
    <t>Bruges Fine Cloth</t>
  </si>
  <si>
    <t>Bruges Fine Dark Blue + Green Cloth</t>
  </si>
  <si>
    <t>Bruges Fine Dark Blue Cloth</t>
  </si>
  <si>
    <t>Bruges Fine Dark Blue Cloth to be dyed Dark Green</t>
  </si>
  <si>
    <t>Bruges Fine Dark Green Cloth</t>
  </si>
  <si>
    <t>Bruges FIne Dark Grey Cloth</t>
  </si>
  <si>
    <t>Bruges Fine Green Cloth</t>
  </si>
  <si>
    <t>Bruges FIne Green Cloth</t>
  </si>
  <si>
    <t>Bruges Fine Green Cloth to be sheared</t>
  </si>
  <si>
    <t>Bruges Fine Grey Brown Cloth to be sheared</t>
  </si>
  <si>
    <t>Bruges Fine Grey Cloth</t>
  </si>
  <si>
    <t>Bruges Fine Light Grey Cloth</t>
  </si>
  <si>
    <t>Bruges Fine Medley Cloth</t>
  </si>
  <si>
    <t>Bruges Fine Perse Cloth</t>
  </si>
  <si>
    <t>Bruges Fine Tan Cloth</t>
  </si>
  <si>
    <t>Bruges FIne Tan Cloth</t>
  </si>
  <si>
    <t>Bruges Fine Tan Cloth to be dyed Dark Green</t>
  </si>
  <si>
    <t>Bruges Fine Vetch [Blossom?] Cloth</t>
  </si>
  <si>
    <t>Bruges Fine Vetch [Blossom] Colored Cloth</t>
  </si>
  <si>
    <t>Bruges Fine White Cloth</t>
  </si>
  <si>
    <t>Bruges Fine White Cloth to be dyed Rose</t>
  </si>
  <si>
    <t>Bruges Fine White Cloth to be dyed, shrunk and sheared</t>
  </si>
  <si>
    <t>Bruges Fine White Grey Cloth</t>
  </si>
  <si>
    <t xml:space="preserve">Bruges Graeu Lammekins </t>
  </si>
  <si>
    <t>Bruges Green + Blue Fine Cloth</t>
  </si>
  <si>
    <t>Bruges Green Cloth</t>
  </si>
  <si>
    <t>Bruges Green Cloth to be sheared</t>
  </si>
  <si>
    <t>Bruges Grey Cloth</t>
  </si>
  <si>
    <t>Bruges Grey Fine Cloth</t>
  </si>
  <si>
    <t>Bruges Grey Lamb Sealed Cloth</t>
  </si>
  <si>
    <t>Bruges Light Grey Fine Cloth</t>
  </si>
  <si>
    <t>Bruges Medley Cloth</t>
  </si>
  <si>
    <t>Bruges Red Grey Cloth</t>
  </si>
  <si>
    <t>Bruges Sealed Grey Small Cloth</t>
  </si>
  <si>
    <t>Bruges Small Cloth</t>
  </si>
  <si>
    <t>Bruges Small Grey Cloth</t>
  </si>
  <si>
    <t>Bruges Small Grey Sealed Cloth</t>
  </si>
  <si>
    <t>Bruges Small Vetch Blossom Cloth</t>
  </si>
  <si>
    <t>Bruges Striped Cloth</t>
  </si>
  <si>
    <t>Bruges Vetch [Blossom] Colored Cloth</t>
  </si>
  <si>
    <t>Bruges Vetch Blossom Cloth to be dyed, shrunk and sheared</t>
  </si>
  <si>
    <t>Bruges Voederinghe [Lining] Cloth</t>
  </si>
  <si>
    <t>Bruges White Grey Cloth</t>
  </si>
  <si>
    <t>Bruges woollen cloth sealed with insignia of the lamb (Lamb of God)</t>
  </si>
  <si>
    <t>BRUGES:  Cloth Prices, 1302 - 1498</t>
  </si>
  <si>
    <t>Bruges?</t>
  </si>
  <si>
    <t>Brugge = Bruges (Flanders)</t>
  </si>
  <si>
    <t>Brughscen, Bruxschen, Bruxen</t>
  </si>
  <si>
    <t>Brughsch Graeu Lakene</t>
  </si>
  <si>
    <t>Brugsche Cuerlakene</t>
  </si>
  <si>
    <t>Brugsche Gheminghede Lakenen</t>
  </si>
  <si>
    <t>Brugsche Graeuwe Laken</t>
  </si>
  <si>
    <t>Brune [Smal] Ghemyngheld Bruchsche Laken</t>
  </si>
  <si>
    <t xml:space="preserve">Brune Ghemijnshelde </t>
  </si>
  <si>
    <t>Brussel = Bruxelles = Brussels (Brabant)</t>
  </si>
  <si>
    <t>Brussels Cloth</t>
  </si>
  <si>
    <t>Brussels Medley Cloth</t>
  </si>
  <si>
    <t>bruun, brunen</t>
  </si>
  <si>
    <t>BrVL</t>
  </si>
  <si>
    <t>buerchmeesters</t>
  </si>
  <si>
    <t>Buerchmeesters + Wet</t>
  </si>
  <si>
    <t>Buerchmeesters + Wet [Bailliu, Scoutheeten, Scepenen, Raden, Tresouers, Pensionaren, Clerken]</t>
  </si>
  <si>
    <t>Buerchmeesters, etc.</t>
  </si>
  <si>
    <t>Buerchmeesters, Scepenen</t>
  </si>
  <si>
    <t>Buerchmeesters, Wet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</si>
  <si>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</si>
  <si>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</si>
  <si>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</si>
  <si>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</si>
  <si>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</si>
  <si>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</si>
  <si>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</si>
  <si>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</si>
  <si>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 Cloth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</si>
  <si>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</si>
  <si>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</si>
  <si>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</si>
  <si>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</si>
  <si>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</si>
  <si>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</si>
  <si>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</si>
  <si>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</si>
  <si>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</si>
  <si>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</si>
  <si>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</si>
  <si>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CBL</t>
  </si>
  <si>
    <t>CC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</si>
  <si>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</si>
  <si>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</si>
  <si>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</si>
  <si>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</si>
  <si>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</si>
  <si>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</si>
  <si>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</si>
  <si>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 + Pensioners</t>
  </si>
  <si>
    <t>clerken</t>
  </si>
  <si>
    <t>Clerks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</si>
  <si>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</si>
  <si>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</si>
  <si>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</si>
  <si>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</si>
  <si>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</si>
  <si>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</si>
  <si>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CmL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</si>
  <si>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</si>
  <si>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</si>
  <si>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</si>
  <si>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</si>
  <si>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</si>
  <si>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</si>
  <si>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</si>
  <si>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</si>
  <si>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</si>
  <si>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</si>
  <si>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Comines Cloth</t>
  </si>
  <si>
    <t>Comines Medley Cloth</t>
  </si>
  <si>
    <t>Commensche, Comensche</t>
  </si>
  <si>
    <t>Commodity</t>
  </si>
  <si>
    <t>Consumer</t>
  </si>
  <si>
    <t>coolzade</t>
  </si>
  <si>
    <t>Cooplieden von Nieukerke Donckere Blaeuwe Laken</t>
  </si>
  <si>
    <t>cooplieden, kooplieden (koopman: sing.)</t>
  </si>
  <si>
    <t>coppins</t>
  </si>
  <si>
    <t>corte</t>
  </si>
  <si>
    <t>Cost of Grain</t>
  </si>
  <si>
    <t>Courtrai</t>
  </si>
  <si>
    <t>Courtrai  Medley Cloth</t>
  </si>
  <si>
    <t>Courtrai Bell Cloth</t>
  </si>
  <si>
    <t>Courtrai Cloth</t>
  </si>
  <si>
    <t>Courtrai Fine Black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</si>
  <si>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</si>
  <si>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</si>
  <si>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</si>
  <si>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</si>
  <si>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</si>
  <si>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</si>
  <si>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Murrey</t>
  </si>
  <si>
    <t>Dark Brown</t>
  </si>
  <si>
    <t>Dark Green</t>
  </si>
  <si>
    <t>Dark Green Cloth</t>
  </si>
  <si>
    <t>Dark Green Medley Cloth</t>
  </si>
  <si>
    <t>Dark Grey</t>
  </si>
  <si>
    <t>Dark Grey Cloth</t>
  </si>
  <si>
    <t>Dark Grey Medley</t>
  </si>
  <si>
    <t>Dark Perse</t>
  </si>
  <si>
    <t>Days' Wages</t>
  </si>
  <si>
    <t>DD</t>
  </si>
  <si>
    <t>decimal</t>
  </si>
  <si>
    <t>deelmans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</si>
  <si>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</si>
  <si>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</si>
  <si>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</si>
  <si>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</si>
  <si>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</si>
  <si>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</si>
  <si>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</si>
  <si>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</si>
  <si>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</si>
  <si>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</si>
  <si>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</si>
  <si>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</si>
  <si>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</si>
  <si>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</si>
  <si>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</si>
  <si>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</si>
  <si>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</si>
  <si>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</si>
  <si>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</si>
  <si>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</si>
  <si>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</si>
  <si>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</si>
  <si>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Doncker Groene Fine Bruchsche Laken</t>
  </si>
  <si>
    <t>Donckere Groene</t>
  </si>
  <si>
    <t>Donckergraeuwe Laken</t>
  </si>
  <si>
    <t>Donkcere Groene Hermantiersche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</si>
  <si>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</si>
  <si>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</si>
  <si>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</si>
  <si>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</si>
  <si>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</si>
  <si>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</si>
  <si>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</si>
  <si>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</si>
  <si>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Dullen + Aerme [Lieden]</t>
  </si>
  <si>
    <t>Dullen + Aerme Liede</t>
  </si>
  <si>
    <t>Dullen + Aerme Lieden</t>
  </si>
  <si>
    <t>Dyed Cloth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</si>
  <si>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</si>
  <si>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</si>
  <si>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</si>
  <si>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</si>
  <si>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</si>
  <si>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</si>
  <si>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</si>
  <si>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</si>
  <si>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Eechxkins Witten te Voerlaken</t>
  </si>
  <si>
    <t>Eecsch Witkens</t>
  </si>
  <si>
    <t>Eecsche Witkens</t>
  </si>
  <si>
    <t>Eecsche Witkins</t>
  </si>
  <si>
    <t>Eecxkins; Heexschins</t>
  </si>
  <si>
    <t>Eeke</t>
  </si>
  <si>
    <t>Eeke (NW Flanders, near Ghent): cheap cloths from</t>
  </si>
  <si>
    <t>Eeke Cheap Cloth</t>
  </si>
  <si>
    <t>Eeke Cloth</t>
  </si>
  <si>
    <t>Eeke Voederinghe [Lining] Cloth</t>
  </si>
  <si>
    <t>Eeke White Cheap Cloth for Lining</t>
  </si>
  <si>
    <t>Eeke White Cloth</t>
  </si>
  <si>
    <t>Eeke White Lining Cloth</t>
  </si>
  <si>
    <t>Eekeloos</t>
  </si>
  <si>
    <t>Eeklo (NW Flanders, near Bruges)</t>
  </si>
  <si>
    <t>Eeklo Cloth</t>
  </si>
  <si>
    <t>EeL</t>
  </si>
  <si>
    <t>eeuwerlinghe</t>
  </si>
  <si>
    <t>Eexkins Laken</t>
  </si>
  <si>
    <t>EkL</t>
  </si>
  <si>
    <t>EkVL</t>
  </si>
  <si>
    <t>EL</t>
  </si>
  <si>
    <t>ell = 0.700 metre</t>
  </si>
  <si>
    <t>Ells Bailleul Grey Cloth</t>
  </si>
  <si>
    <t>Ells Black Cloth</t>
  </si>
  <si>
    <t>Ells Bruges Fine Grey Cloth</t>
  </si>
  <si>
    <t xml:space="preserve">Ells Bruges Grey Cloth </t>
  </si>
  <si>
    <t>Ells Dark Grey Cloth</t>
  </si>
  <si>
    <t>Ells Doncker Groene</t>
  </si>
  <si>
    <t>Ells Fijn Bruch Graeu Laken</t>
  </si>
  <si>
    <t>Ells Fine Vetch [Blossom] Cloth</t>
  </si>
  <si>
    <t>Ells Fine Vidsen</t>
  </si>
  <si>
    <t>Ells Gheluu</t>
  </si>
  <si>
    <t>Ells Graeuwe Lakenen [Belsche]</t>
  </si>
  <si>
    <t>Ells Nieppe Perse Cloth</t>
  </si>
  <si>
    <t>Ells Persche Laken Nipkeercsche</t>
  </si>
  <si>
    <t>Ells Voederinghe [Lining] Cloth</t>
  </si>
  <si>
    <t>Ells Voerlakenen</t>
  </si>
  <si>
    <t>Ells Yellow Cloth</t>
  </si>
  <si>
    <t>Ells Zwarte Lakenen</t>
  </si>
  <si>
    <t>elnen</t>
  </si>
  <si>
    <t>eternal = heavenly blue</t>
  </si>
  <si>
    <t>Exchange Rate</t>
  </si>
  <si>
    <t>Explanations and translations</t>
  </si>
  <si>
    <t>Fauquemont Cloth</t>
  </si>
  <si>
    <t>Fijn Blaeu Laken</t>
  </si>
  <si>
    <t xml:space="preserve">Fijn Blaeu Laken zwart te vaerwene ende uter wulle te doen scheerne </t>
  </si>
  <si>
    <t>Fijn Zad Blaeu</t>
  </si>
  <si>
    <t>Fijne Bruchsche Blaeuwe Laken ten zelven prijse</t>
  </si>
  <si>
    <t>Fijne Bruchsche Blaeuwe vaerwene...zwart te makene</t>
  </si>
  <si>
    <t>Fijne Bruchsche Donker Blaeuwe + Groenen</t>
  </si>
  <si>
    <t>Fijne Bruchsche Gheminghet Laken</t>
  </si>
  <si>
    <t>Fijne Bruchsche Graeuwe Lakenen</t>
  </si>
  <si>
    <t>Fijne Brune Ghemijnghed Lakene [Bruchsche]</t>
  </si>
  <si>
    <t>Fijne Brune Perssche Laken uter wulle te scheerene</t>
  </si>
  <si>
    <t>Fijne Graeuwe Bruchsche Lakene</t>
  </si>
  <si>
    <t>Fijne Graeuwe Laken</t>
  </si>
  <si>
    <t>Fijne Groene Bruchsche Laken uter wulle te scherne</t>
  </si>
  <si>
    <t>Fijne Peersche Bruchsche Lakenen</t>
  </si>
  <si>
    <t>Fijne Zwarte Bruchsche Lakenen</t>
  </si>
  <si>
    <t>Fijnen Brunen Ghemijnghede Laken</t>
  </si>
  <si>
    <t>Fin Bruchs Wit Laken</t>
  </si>
  <si>
    <t>Fine Blaeuwe Brughsche Laken te vaerwene + te sceerene</t>
  </si>
  <si>
    <t>Fine Blue Cloth</t>
  </si>
  <si>
    <t>Fine Blue Cloth to be dyed Black and sheared</t>
  </si>
  <si>
    <t>Fine Brown Medley Cloth</t>
  </si>
  <si>
    <t>Fine Brown Perse Cloth to be sheared</t>
  </si>
  <si>
    <t>Fine Bruchsche Blaeu Laken omme rozeyt ghevaerwet t'zijne</t>
  </si>
  <si>
    <t>Fine Bruchsche Doncker Groene Laken</t>
  </si>
  <si>
    <t>Fine Bruchsche Laken</t>
  </si>
  <si>
    <t>Fine Bruchsche Lakenen</t>
  </si>
  <si>
    <t>Fine Bruchsche Lakenen Vitsen</t>
  </si>
  <si>
    <t>Fine Bruchsche Lichte Graeuwe Lakenen</t>
  </si>
  <si>
    <t>Fine Bruchsche Themeyet Laken [Thenneyt?]</t>
  </si>
  <si>
    <t>Fine Bruchsche T'herneden [the'neden] Laken</t>
  </si>
  <si>
    <t>Fine Bruchsche T'herneden [the'neden] Laken: tanneit?</t>
  </si>
  <si>
    <t>Fine Bruchsche Vitsen Laken</t>
  </si>
  <si>
    <t>Fine Bruchsche Witte Graeuwe Lakenen</t>
  </si>
  <si>
    <t>Fine Bruchsche Witte Lakenen te vaerwene te crempene + te scheerne</t>
  </si>
  <si>
    <t>Fine Bruchsche Zadde Blaeuwe Laken</t>
  </si>
  <si>
    <t>Fine Bruchsche Zatte Blaeuwe Laken</t>
  </si>
  <si>
    <t>Fine Bruchsche Zatte Blaeuwen Laken</t>
  </si>
  <si>
    <t>Fine Bruges Brown Murrey Cloth + Dark Green Cloth</t>
  </si>
  <si>
    <t>Fine Brugsche Doncker Graeuwe Laken</t>
  </si>
  <si>
    <t>Fine Brugsche Ghemijndeghe Laken</t>
  </si>
  <si>
    <t>Fine Brugsche Groene Laken</t>
  </si>
  <si>
    <t>Fine Brugshce Graeuwe Lakenen</t>
  </si>
  <si>
    <t>Fine Brune Bruchsche Graeuwe Laken</t>
  </si>
  <si>
    <t>Fine Brune Graeuwe Bruchsche Laken</t>
  </si>
  <si>
    <t>Fine Brune Graeuwe Bruchsche Laken uter wulle te scheerne</t>
  </si>
  <si>
    <t>Fine Dark Blue Cloth</t>
  </si>
  <si>
    <t>Fine Dark Green Cloth</t>
  </si>
  <si>
    <t>Fine Dark Grey Cloth</t>
  </si>
  <si>
    <t>Fine Doncker Graeuwe</t>
  </si>
  <si>
    <t xml:space="preserve">Fine Doncker Graeuwe </t>
  </si>
  <si>
    <t>Fine Doncker Groene Laken</t>
  </si>
  <si>
    <t>Fine Graeuwe Brucghsche Lakenen</t>
  </si>
  <si>
    <t>Fine Graeuwe Brucgsche Laken</t>
  </si>
  <si>
    <t>Fine Graeuwe Bruchsche Laken</t>
  </si>
  <si>
    <t>Fine Graeuwe Bruchsche Lakenen</t>
  </si>
  <si>
    <t>Fine Graeuwe Laken</t>
  </si>
  <si>
    <t>Fine Green Cloth</t>
  </si>
  <si>
    <t>Fine Grey Cloth</t>
  </si>
  <si>
    <t>FIne Grey Cloth</t>
  </si>
  <si>
    <t>Fine Groene + Blaeuwe Bruchsche Laken</t>
  </si>
  <si>
    <t>Fine Groene Doncker Laken</t>
  </si>
  <si>
    <t>Fine Groene Lakenen</t>
  </si>
  <si>
    <t>Fine Grone Wervicxsche Laken</t>
  </si>
  <si>
    <t>Fine Lavender Grey Cloth</t>
  </si>
  <si>
    <t xml:space="preserve">Fine Lavendre Graeuwe </t>
  </si>
  <si>
    <t>Fine Lichte Bruchsche Graeuwe Lakene</t>
  </si>
  <si>
    <t>Fine Peersche Bruchs[che] Laken</t>
  </si>
  <si>
    <t>fine quality woollen cloth, sealed with insignia of bells: popular in mid to late 15th century Low Countries</t>
  </si>
  <si>
    <t>Fine Vetch [Blossom] Cloth</t>
  </si>
  <si>
    <t>Fine Vidse Laken</t>
  </si>
  <si>
    <t>Fine Vitsen Laken</t>
  </si>
  <si>
    <t>Fine White Cloth</t>
  </si>
  <si>
    <t>FIne White Cloth</t>
  </si>
  <si>
    <t>Fine Witte Bruchs Laken</t>
  </si>
  <si>
    <t>Fine Witte Brug[sche] Laken</t>
  </si>
  <si>
    <t>Fine Witte Brugh[sche]</t>
  </si>
  <si>
    <t>Fine Witte Brughsche Blaeu Laken Omne Rozeyt te Vaerwene</t>
  </si>
  <si>
    <t>Fine Witte Brugsche Laken</t>
  </si>
  <si>
    <t>Fine Witte Graeuwe Bruchsche Laken</t>
  </si>
  <si>
    <t>Fine Witte Laken</t>
  </si>
  <si>
    <t>Fine Witte Lakenen</t>
  </si>
  <si>
    <t>Fine Zwart Lakenen Bruch[sche]</t>
  </si>
  <si>
    <t>Fine Zwarte Bruchsche Laken</t>
  </si>
  <si>
    <t>Fine Zwarte Brughsche Laken</t>
  </si>
  <si>
    <t>Fine Zwarte Curtijcsche Laken</t>
  </si>
  <si>
    <t>Finen Bruchsche Bruun Moreyde + Doncker Groene Lakenen</t>
  </si>
  <si>
    <t>Finen Witten Graeuwen Bruchschen Laken</t>
  </si>
  <si>
    <t>finished (bereden)</t>
  </si>
  <si>
    <t>Finishing</t>
  </si>
  <si>
    <t>five wools: perhaps a mixture of five types of wools, or coloured wools</t>
  </si>
  <si>
    <t>FL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</si>
  <si>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</si>
  <si>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</si>
  <si>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</si>
  <si>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</si>
  <si>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</si>
  <si>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</si>
  <si>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Fyne Blaeuwe Bruchsche Laken uter wulle te scherne</t>
  </si>
  <si>
    <t>G</t>
  </si>
  <si>
    <t>G1</t>
  </si>
  <si>
    <t>G1 + B1</t>
  </si>
  <si>
    <t>G1L</t>
  </si>
  <si>
    <t>G1LM</t>
  </si>
  <si>
    <t>G1M</t>
  </si>
  <si>
    <t>G1SC</t>
  </si>
  <si>
    <t>G1SL</t>
  </si>
  <si>
    <t>G1Z</t>
  </si>
  <si>
    <t>G1ZM</t>
  </si>
  <si>
    <t>G2</t>
  </si>
  <si>
    <t>G2B2</t>
  </si>
  <si>
    <t>G2L</t>
  </si>
  <si>
    <t>G2LA</t>
  </si>
  <si>
    <t>G2LM</t>
  </si>
  <si>
    <t>G2M</t>
  </si>
  <si>
    <t>G2S</t>
  </si>
  <si>
    <t>G2Z</t>
  </si>
  <si>
    <t>G2ZM</t>
  </si>
  <si>
    <t>G3</t>
  </si>
  <si>
    <t>Garsoene</t>
  </si>
  <si>
    <t>Garsoene + Wachters</t>
  </si>
  <si>
    <t>garsoene, garchoene</t>
  </si>
  <si>
    <t>Garsoene, Wachters</t>
  </si>
  <si>
    <t>Garsoene, Wachters etc.</t>
  </si>
  <si>
    <t>Garsoene, Wachters, W[eavers] + F[ullers]</t>
  </si>
  <si>
    <t>Garsoenen + Menestuelen</t>
  </si>
  <si>
    <t>Garsoenen, Messagiers, Wahcters, W[eavers] + F[ullers]</t>
  </si>
  <si>
    <t>Garsoenen, Messagies, Wachtes, W[eavers] + F[ullers], Gordijn</t>
  </si>
  <si>
    <t>Garsoenen, Messagies, Wachtes, W[eavers] + F[ullers], Gordijn?</t>
  </si>
  <si>
    <t>Garsoenen, Wachters, Gordijnen, W[eavers] + F[ullers]</t>
  </si>
  <si>
    <t>Gent = Gand = Ghent (East Flanders)</t>
  </si>
  <si>
    <t>gharoffelin, gerofelin, garosseline</t>
  </si>
  <si>
    <t>ghebelde</t>
  </si>
  <si>
    <t>gheboste</t>
  </si>
  <si>
    <t>Ghecomitteerde</t>
  </si>
  <si>
    <t>Ghecomitteirde</t>
  </si>
  <si>
    <t>Ghecomittered</t>
  </si>
  <si>
    <t>Ghecomittsed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</si>
  <si>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</si>
  <si>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</si>
  <si>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</si>
  <si>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</si>
  <si>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</si>
  <si>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</si>
  <si>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</si>
  <si>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</si>
  <si>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>ghemingheden, ghemijnghede, gemingd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</si>
  <si>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</si>
  <si>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</si>
  <si>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</si>
  <si>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</si>
  <si>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</si>
  <si>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</si>
  <si>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</si>
  <si>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</si>
  <si>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</si>
  <si>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</si>
  <si>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</si>
  <si>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</si>
  <si>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</si>
  <si>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</si>
  <si>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</si>
  <si>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</si>
  <si>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</si>
  <si>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Gine Bruchsche Blaeuwe Laken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</si>
  <si>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</si>
  <si>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</si>
  <si>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</si>
  <si>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</si>
  <si>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</si>
  <si>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</si>
  <si>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</si>
  <si>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</si>
  <si>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goud</t>
  </si>
  <si>
    <t>goudbloemine</t>
  </si>
  <si>
    <t>gourdijns, gordijns</t>
  </si>
  <si>
    <t>Graeu Bruchs Laken</t>
  </si>
  <si>
    <t>Graeu Laken</t>
  </si>
  <si>
    <t>Graeu Nieukeersche Laken</t>
  </si>
  <si>
    <t>Graeuwe Belsche Lakenen</t>
  </si>
  <si>
    <t>Graeuwe Bruchsche Laken</t>
  </si>
  <si>
    <t>Graeuwe Fine Bruchsche Laken</t>
  </si>
  <si>
    <t>Graeuwe Fine Laken</t>
  </si>
  <si>
    <t>Graeuwe Hesdijnsche Lakenen Witt</t>
  </si>
  <si>
    <t>Graeuwe Kuerlakenen</t>
  </si>
  <si>
    <t>Graeuwe Laken</t>
  </si>
  <si>
    <t>Graeuwe Lakenen</t>
  </si>
  <si>
    <t>Graeuwe Lakenen [Neuve Eglise?]</t>
  </si>
  <si>
    <t>Graeuwe Smalle Bruchsche Laken</t>
  </si>
  <si>
    <t>Graeuwe Smalle Laken</t>
  </si>
  <si>
    <t>Grauwen Bruchschen Lakenen</t>
  </si>
  <si>
    <t>grawe, grauwe</t>
  </si>
  <si>
    <t>green</t>
  </si>
  <si>
    <t>Green</t>
  </si>
  <si>
    <t>Green Cloth</t>
  </si>
  <si>
    <t>Green Medley Cloth</t>
  </si>
  <si>
    <t>Green Scarlet Cloth</t>
  </si>
  <si>
    <t>Green Striped Cloth</t>
  </si>
  <si>
    <t>grey</t>
  </si>
  <si>
    <t>Grey</t>
  </si>
  <si>
    <t>Grey Cloth</t>
  </si>
  <si>
    <t>Grey Fine Cloth</t>
  </si>
  <si>
    <t>Grey Medley</t>
  </si>
  <si>
    <t>Grey Small Cloth</t>
  </si>
  <si>
    <t>grey-brown colour; natural wool colour</t>
  </si>
  <si>
    <t>Groene [Neuve Eglise?] Laken</t>
  </si>
  <si>
    <t>Groene Bruchsche Laken uter wulle te scheerne</t>
  </si>
  <si>
    <t>Groene Fine Bruchsche Laken</t>
  </si>
  <si>
    <t>Groene Lakenen</t>
  </si>
  <si>
    <t>Groene Lakenen [B?]</t>
  </si>
  <si>
    <t>Groene Lakenen [Bruges]</t>
  </si>
  <si>
    <t>Groene Nieukeercsche Lakenen</t>
  </si>
  <si>
    <t>Groene Wervicxsche Lakenen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</si>
  <si>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</si>
  <si>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</si>
  <si>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</si>
  <si>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</si>
  <si>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</si>
  <si>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</si>
  <si>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</si>
  <si>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</si>
  <si>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</si>
  <si>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</si>
  <si>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</si>
  <si>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</si>
  <si>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</si>
  <si>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</si>
  <si>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</si>
  <si>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</si>
  <si>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</si>
  <si>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Halluin Medley Cloth</t>
  </si>
  <si>
    <t>halve</t>
  </si>
  <si>
    <t>Heavenly Blue</t>
  </si>
  <si>
    <t>Heavenly Blue Scarlet</t>
  </si>
  <si>
    <t>HeG</t>
  </si>
  <si>
    <t>HeL</t>
  </si>
  <si>
    <t>Hermantiersche</t>
  </si>
  <si>
    <t>Hesdin</t>
  </si>
  <si>
    <t>Hesdin (SW Flanders: now in France)</t>
  </si>
  <si>
    <t>Hesdin Cloth</t>
  </si>
  <si>
    <t>Hesdin Grey White Cloth</t>
  </si>
  <si>
    <t>Hesdin Medley Cloth</t>
  </si>
  <si>
    <t>Hesdins; Hesdynsche</t>
  </si>
  <si>
    <t>HG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</si>
  <si>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</si>
  <si>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</si>
  <si>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</si>
  <si>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</si>
  <si>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</si>
  <si>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</si>
  <si>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</si>
  <si>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</si>
  <si>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</si>
  <si>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</si>
  <si>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</si>
  <si>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</si>
  <si>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</si>
  <si>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</si>
  <si>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</si>
  <si>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</si>
  <si>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</si>
  <si>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justices</t>
  </si>
  <si>
    <t>Justices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</si>
  <si>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</si>
  <si>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</si>
  <si>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</si>
  <si>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</si>
  <si>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</si>
  <si>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</si>
  <si>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 = Courtrai (SW Flanders)</t>
  </si>
  <si>
    <t>Kortrijlk</t>
  </si>
  <si>
    <t>laken</t>
  </si>
  <si>
    <t>lakenen metter ff</t>
  </si>
  <si>
    <t>lammekins</t>
  </si>
  <si>
    <t>lancxen</t>
  </si>
  <si>
    <t>lang = long; length</t>
  </si>
  <si>
    <t>Lavender Grey</t>
  </si>
  <si>
    <t>legal officials who collect debts</t>
  </si>
  <si>
    <t>Leiden</t>
  </si>
  <si>
    <t>Leids</t>
  </si>
  <si>
    <t>LeL</t>
  </si>
  <si>
    <t>Leyden Cloth</t>
  </si>
  <si>
    <t>lichte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</si>
  <si>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</si>
  <si>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</si>
  <si>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</si>
  <si>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</si>
  <si>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</si>
  <si>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</si>
  <si>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</si>
  <si>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</si>
  <si>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</si>
  <si>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</si>
  <si>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Grey</t>
  </si>
  <si>
    <t>Light Grey Medley</t>
  </si>
  <si>
    <t>Light Medley</t>
  </si>
  <si>
    <t>Light Sanguine</t>
  </si>
  <si>
    <t>Light Tan</t>
  </si>
  <si>
    <t>Light Turkish Blue</t>
  </si>
  <si>
    <t>light; lichtblauwe = light blue</t>
  </si>
  <si>
    <t>LiL</t>
  </si>
  <si>
    <t>Lille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</si>
  <si>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</si>
  <si>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</si>
  <si>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</si>
  <si>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</si>
  <si>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</si>
  <si>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</si>
  <si>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</si>
  <si>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</si>
  <si>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</si>
  <si>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</si>
  <si>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</si>
  <si>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</si>
  <si>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</si>
  <si>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</si>
  <si>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</si>
  <si>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</si>
  <si>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</si>
  <si>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</si>
  <si>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</si>
  <si>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>MBM</t>
  </si>
  <si>
    <t>Mechelen = Malines = Mechlin (Flemish seigneurie within the duchy of Brabant, betw. Brussels-Antwerp)</t>
  </si>
  <si>
    <t>Mechelen Cloth</t>
  </si>
  <si>
    <t>Mechelen Medley Cloth</t>
  </si>
  <si>
    <t>medecijn</t>
  </si>
  <si>
    <t>Medlar Bloom Medley</t>
  </si>
  <si>
    <t>Medley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</si>
  <si>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</si>
  <si>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</si>
  <si>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</si>
  <si>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</si>
  <si>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</si>
  <si>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</si>
  <si>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</si>
  <si>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</si>
  <si>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Menestrelen, Scadebeletter + Garosene</t>
  </si>
  <si>
    <t>Menestrelen, Scadebeletter + Garsoene</t>
  </si>
  <si>
    <t>Menestrelen, Scadebeletters, Garsoene</t>
  </si>
  <si>
    <t>Menestruelen, Scedebeletters, Garsoenen</t>
  </si>
  <si>
    <t>Menestuelen</t>
  </si>
  <si>
    <t>Menin Cloth</t>
  </si>
  <si>
    <t>Menin Medley Cloth</t>
  </si>
  <si>
    <t>merchants</t>
  </si>
  <si>
    <t>Mesen = Messines (SW Flanders)</t>
  </si>
  <si>
    <t>Messagiers</t>
  </si>
  <si>
    <t>Messensche</t>
  </si>
  <si>
    <t>Messines Cloth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</si>
  <si>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</si>
  <si>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</si>
  <si>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</si>
  <si>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</si>
  <si>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</si>
  <si>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</si>
  <si>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</si>
  <si>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</si>
  <si>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</si>
  <si>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</si>
  <si>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ML</t>
  </si>
  <si>
    <t>MoL</t>
  </si>
  <si>
    <t>Monetary Terms</t>
  </si>
  <si>
    <t>Monstruelsche</t>
  </si>
  <si>
    <t>Month</t>
  </si>
  <si>
    <t>Montivilliers (France: duchy of Normandy)</t>
  </si>
  <si>
    <t>Montivilliers Cloth</t>
  </si>
  <si>
    <t>Montreuil (France: county of Artois)</t>
  </si>
  <si>
    <t>Montreuil Cloth</t>
  </si>
  <si>
    <t>moreide, moreit, moreyde</t>
  </si>
  <si>
    <t>Mostiervilersche</t>
  </si>
  <si>
    <t>mottoen, mouton</t>
  </si>
  <si>
    <t>MSC</t>
  </si>
  <si>
    <t>MsL</t>
  </si>
  <si>
    <t>Muenekereede</t>
  </si>
  <si>
    <t>MuL</t>
  </si>
  <si>
    <t>Munikerede (NW Flanders)</t>
  </si>
  <si>
    <t>murrey = mulberry, or light to medium purple</t>
  </si>
  <si>
    <t>N</t>
  </si>
  <si>
    <t>N.B. 36 ells per cloth</t>
  </si>
  <si>
    <t>N.B. Ambiguous whether 10 or 16.5 cloths</t>
  </si>
  <si>
    <t>N.B. Continuation of entry 305:1.3</t>
  </si>
  <si>
    <t>N.B. Cuerlaken cloth.  Scadebeletters alternative name for Scarwetters.</t>
  </si>
  <si>
    <t>N.B. Entry for 2 Red Cloths totalling 67.25 ells.  Therefore 33.625 ells per cloth.</t>
  </si>
  <si>
    <t>N.B. Entry is for 5 fine Bruchsche zadde blaeuwe lak. + 4 of same.</t>
  </si>
  <si>
    <t>N.B. Entry reads "2 Bruchsche Smalle Greauwe Lak. + 7 [of same].</t>
  </si>
  <si>
    <t>N.B. Entry reads "4 fine vidsen + 5 of same".</t>
  </si>
  <si>
    <t>N.B. Finishing costs for this and following entry given as "plus 20s gros vanden voors lakenen uter wulle te scheerene".</t>
  </si>
  <si>
    <t>N.B. For this and above entry, "2 zwarten ende 2 peerschen Nieukeercsche lakenen omne de cleedinghe vanden dulle ende voedelinghen ende andre aerme lieden.  Probably all lining cloths.</t>
  </si>
  <si>
    <t>N.B. New Color</t>
  </si>
  <si>
    <t>N.B. New Town</t>
  </si>
  <si>
    <t>N.B. No # of ells given.</t>
  </si>
  <si>
    <t>N.B. No description or p/p apart from "+ 1 graeuwe" below above entry.  Assumed same p/p.</t>
  </si>
  <si>
    <t>N.B. No other entries for this file.</t>
  </si>
  <si>
    <t>N.B. Presumably 8 Murrey and 7 Dark Green.</t>
  </si>
  <si>
    <t>N.B. Query re: 8 ells p/p. For total number of ells as 72.</t>
  </si>
  <si>
    <t>N.B. Recipients for this and above entry given in brackets as "vanden bailliu, scoutheeten, buerchmeesters, cepenen ende raden, tresoirers, pensionaren ende clerken vander camere midsgaders den Medicijn vander stede".</t>
  </si>
  <si>
    <t>N.B. See entry 327:1.1.a</t>
  </si>
  <si>
    <t>N.B. Small Cloth</t>
  </si>
  <si>
    <t>N.B. This and following two entries described as "the same" presumably referring to the entry above.</t>
  </si>
  <si>
    <t>N.B. Vitschen = Vetch Blossom?; Small Cloth</t>
  </si>
  <si>
    <t>Name</t>
  </si>
  <si>
    <t>narrow (and not "small"): woven on a single rather than a broadloom</t>
  </si>
  <si>
    <t>Natural  Wool Color [Schiere]</t>
  </si>
  <si>
    <t>Natural Wool Color [Schiere = Grey Brown] Medley</t>
  </si>
  <si>
    <t>NEG</t>
  </si>
  <si>
    <t>NEL</t>
  </si>
  <si>
    <t>Neuve Eglise</t>
  </si>
  <si>
    <t>Neuve Eglise Black Cloth</t>
  </si>
  <si>
    <t>Neuve Eglise Blue Cloth</t>
  </si>
  <si>
    <t>Neuve Eglise Cloth</t>
  </si>
  <si>
    <t>Neuve Eglise Dark Blue Cloth</t>
  </si>
  <si>
    <t>Neuve Eglise Green Cloth</t>
  </si>
  <si>
    <t>Neuve Eglise Grey Cloth</t>
  </si>
  <si>
    <t>Neuve Eglise Medley Cloth</t>
  </si>
  <si>
    <t>Neuve Eglise Perse Cloth</t>
  </si>
  <si>
    <t>Neuve Eglise Red Cloth</t>
  </si>
  <si>
    <t>Neuve Eglise Tan Cloth</t>
  </si>
  <si>
    <t>Neuve Eglise White Cloth</t>
  </si>
  <si>
    <t>Neuve Eglise?</t>
  </si>
  <si>
    <t>Niepkerk = Nieppe (SW Flanders: now in France)</t>
  </si>
  <si>
    <t>Nieppe</t>
  </si>
  <si>
    <t>Nieppe Blue Cloth</t>
  </si>
  <si>
    <t>Nieppe Cloth</t>
  </si>
  <si>
    <t>Nieppe Perse Cloth</t>
  </si>
  <si>
    <t>Nieukercsche</t>
  </si>
  <si>
    <t>Nieukercsche Laken</t>
  </si>
  <si>
    <t>Nieukersche Laken</t>
  </si>
  <si>
    <t>Nieukersche Roode Laken</t>
  </si>
  <si>
    <t>Nieukersche Witte Laken</t>
  </si>
  <si>
    <t>Nieuwkerk = Neuve Eglise (SW Flanders)</t>
  </si>
  <si>
    <t>NIL</t>
  </si>
  <si>
    <t>Nipkeercshce Laken</t>
  </si>
  <si>
    <t>Nipkerke Peersche Lakenen</t>
  </si>
  <si>
    <t>Nipkersche</t>
  </si>
  <si>
    <t>NM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</si>
  <si>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</si>
  <si>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</si>
  <si>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</si>
  <si>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</si>
  <si>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</si>
  <si>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</si>
  <si>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</si>
  <si>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</si>
  <si>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October/Bamesse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</si>
  <si>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</si>
  <si>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</si>
  <si>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</si>
  <si>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</si>
  <si>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</si>
  <si>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</si>
  <si>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</si>
  <si>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</si>
  <si>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</si>
  <si>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</si>
  <si>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</si>
  <si>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</si>
  <si>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</si>
  <si>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</si>
  <si>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</si>
  <si>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</si>
  <si>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</si>
  <si>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</si>
  <si>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</si>
  <si>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</si>
  <si>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</si>
  <si>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</si>
  <si>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</si>
  <si>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</si>
  <si>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</si>
  <si>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</si>
  <si>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</si>
  <si>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</si>
  <si>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</si>
  <si>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</si>
  <si>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Peacock</t>
  </si>
  <si>
    <t>peacock coloured; multi-coloured with blues, etc.</t>
  </si>
  <si>
    <t>PEB</t>
  </si>
  <si>
    <t>PEB2</t>
  </si>
  <si>
    <t>PEB2MA</t>
  </si>
  <si>
    <t>PEB2SC</t>
  </si>
  <si>
    <t>PEB2SLSC</t>
  </si>
  <si>
    <t>Peersch Laken</t>
  </si>
  <si>
    <t>Peersche Nipkeercsche Lakenen</t>
  </si>
  <si>
    <t>Peerschen Nieukeercsche Lakenen</t>
  </si>
  <si>
    <t>PEG2M</t>
  </si>
  <si>
    <t>Pen[sionarisen] + Clerken</t>
  </si>
  <si>
    <t>Pence</t>
  </si>
  <si>
    <t>pensionarisen</t>
  </si>
  <si>
    <t>Pensionarisen + Clerke</t>
  </si>
  <si>
    <t>Pensionariss + Clerke</t>
  </si>
  <si>
    <t>Pensionarissen + Clerke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</si>
  <si>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</si>
  <si>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</si>
  <si>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</si>
  <si>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</si>
  <si>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</si>
  <si>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</si>
  <si>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Persche Laken Nipkeercsche</t>
  </si>
  <si>
    <t>Perschen Laken</t>
  </si>
  <si>
    <t>Perschen Lakenen</t>
  </si>
  <si>
    <t>Perse</t>
  </si>
  <si>
    <t>perse = purple or mauve</t>
  </si>
  <si>
    <t xml:space="preserve">Perse Blossom 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</si>
  <si>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</si>
  <si>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</si>
  <si>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</si>
  <si>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</si>
  <si>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</si>
  <si>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</si>
  <si>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Cloth</t>
  </si>
  <si>
    <t>Perse Grey Medley</t>
  </si>
  <si>
    <t>Perse Scarlet</t>
  </si>
  <si>
    <t>perse, peersche, peerce</t>
  </si>
  <si>
    <t>perse-coloured or colour of some flower</t>
  </si>
  <si>
    <t>PESC</t>
  </si>
  <si>
    <t>PEZ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</si>
  <si>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</si>
  <si>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</si>
  <si>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</si>
  <si>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</si>
  <si>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</si>
  <si>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</si>
  <si>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</si>
  <si>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</si>
  <si>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</si>
  <si>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</si>
  <si>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</si>
  <si>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</si>
  <si>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</si>
  <si>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</si>
  <si>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</si>
  <si>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</si>
  <si>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Poor?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</si>
  <si>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</si>
  <si>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</si>
  <si>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</si>
  <si>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</si>
  <si>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</si>
  <si>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</si>
  <si>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</si>
  <si>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</si>
  <si>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</si>
  <si>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</si>
  <si>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priesters</t>
  </si>
  <si>
    <t>Priesters</t>
  </si>
  <si>
    <t>Priesters + Stede Meesters</t>
  </si>
  <si>
    <t>Priesters + Stede Messtes + Menestreulen</t>
  </si>
  <si>
    <t>Priesters + Werclieden</t>
  </si>
  <si>
    <t>Priesters, Meestes + Menestrelen</t>
  </si>
  <si>
    <t>Priesters, Stede Meesters, Surgien</t>
  </si>
  <si>
    <t>prison warden</t>
  </si>
  <si>
    <t>Purple</t>
  </si>
  <si>
    <t>Query if cloth from Neuve Eglise.</t>
  </si>
  <si>
    <t>R1</t>
  </si>
  <si>
    <t>R1G2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</si>
  <si>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</si>
  <si>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</si>
  <si>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</si>
  <si>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</si>
  <si>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</si>
  <si>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</si>
  <si>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</si>
  <si>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</si>
  <si>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</si>
  <si>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</si>
  <si>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</si>
  <si>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</si>
  <si>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</si>
  <si>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</si>
  <si>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</si>
  <si>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</si>
  <si>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</si>
  <si>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</si>
  <si>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</si>
  <si>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</si>
  <si>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</si>
  <si>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</si>
  <si>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Cloth</t>
  </si>
  <si>
    <t xml:space="preserve">Red Grey 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</si>
  <si>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</si>
  <si>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</si>
  <si>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</si>
  <si>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</si>
  <si>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</si>
  <si>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</si>
  <si>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</si>
  <si>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</si>
  <si>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</si>
  <si>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</si>
  <si>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</si>
  <si>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</si>
  <si>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Rijsselsche Lakenen</t>
  </si>
  <si>
    <t>Riselschieren; Rijsel, Rysel</t>
  </si>
  <si>
    <t>RL</t>
  </si>
  <si>
    <t>roepers</t>
  </si>
  <si>
    <t>Roeselare = Roulers (West Flanders)</t>
  </si>
  <si>
    <t>Roesselaersche</t>
  </si>
  <si>
    <t>roet, rood</t>
  </si>
  <si>
    <t>RoG</t>
  </si>
  <si>
    <t>RoL</t>
  </si>
  <si>
    <t>Rood Laken</t>
  </si>
  <si>
    <t>Rood Nieukercsche Laken</t>
  </si>
  <si>
    <t>Roode Lakenen</t>
  </si>
  <si>
    <t>Rooden Nieukersche Lakenen</t>
  </si>
  <si>
    <t>Rose</t>
  </si>
  <si>
    <t>Rose Scarlet</t>
  </si>
  <si>
    <t>Rose Striped Cloth</t>
  </si>
  <si>
    <t>rose, rosy-coloured, light-red</t>
  </si>
  <si>
    <t>rose-grey cloth</t>
  </si>
  <si>
    <t>roseide rozeyt</t>
  </si>
  <si>
    <t>rosgraeuwe, rosse grauwe</t>
  </si>
  <si>
    <t>Rouen</t>
  </si>
  <si>
    <t>Rouen (France: duchy of Normandy)</t>
  </si>
  <si>
    <t>Rouen Cloth</t>
  </si>
  <si>
    <t>Rouen Tan Cloth</t>
  </si>
  <si>
    <t>Roulers Cloth</t>
  </si>
  <si>
    <t>Roulers Medley Cloth</t>
  </si>
  <si>
    <t>Rouwaensche</t>
  </si>
  <si>
    <t>S</t>
  </si>
  <si>
    <t>SAB</t>
  </si>
  <si>
    <t>sad- or zad-</t>
  </si>
  <si>
    <t>Sadde Blaeuwe Fine Bruchsche Laken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</si>
  <si>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</si>
  <si>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</si>
  <si>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</si>
  <si>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</si>
  <si>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</si>
  <si>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</si>
  <si>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</si>
  <si>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</si>
  <si>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</si>
  <si>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</si>
  <si>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sarmelijnsche graeuwe</t>
  </si>
  <si>
    <t>Sarmelijnsche Grey</t>
  </si>
  <si>
    <t>say or serge cloth (semi-worsted) from Gistel = Ghistelles (Flanders)</t>
  </si>
  <si>
    <t>SC</t>
  </si>
  <si>
    <t>Scadebeletter + Garsoen</t>
  </si>
  <si>
    <t>Scadebeletters (police)</t>
  </si>
  <si>
    <t>Scadebeletters + Garsoene</t>
  </si>
  <si>
    <t>Scadebeletters + Garsoene etc.</t>
  </si>
  <si>
    <t>Scadebeletters + Garsoenen</t>
  </si>
  <si>
    <t>Scadekelellers, Messagies, Garsoenen, Wachtes, Gordijnen, W[eavers] + F[ullers]</t>
  </si>
  <si>
    <t>Scadekeletters</t>
  </si>
  <si>
    <t>Scadekeletters + Garsoene</t>
  </si>
  <si>
    <t>Scadekeletters, Menestruelen</t>
  </si>
  <si>
    <t>scaerlaken</t>
  </si>
  <si>
    <t>Scaerlaken</t>
  </si>
  <si>
    <t>scaerpblaeu</t>
  </si>
  <si>
    <t>Scarewetters</t>
  </si>
  <si>
    <t>Scarlet</t>
  </si>
  <si>
    <t>Scarlet [Ghegreinden] Gheminghede</t>
  </si>
  <si>
    <t>Scarlet Medley</t>
  </si>
  <si>
    <t>scarlet: woollen cloth dyed partially or wholly in kermes (grain)</t>
  </si>
  <si>
    <t>Scarwetters</t>
  </si>
  <si>
    <t>Scarwetters + Menestrelen</t>
  </si>
  <si>
    <t>sceeren uter wulle (te), sceerne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</si>
  <si>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</si>
  <si>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</si>
  <si>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</si>
  <si>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</si>
  <si>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</si>
  <si>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</si>
  <si>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</si>
  <si>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</si>
  <si>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</si>
  <si>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</si>
  <si>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</si>
  <si>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</si>
  <si>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</si>
  <si>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</si>
  <si>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</si>
  <si>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Serge</t>
  </si>
  <si>
    <t>Sergeants</t>
  </si>
  <si>
    <t>sergeants; militia officers</t>
  </si>
  <si>
    <t>serjante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</si>
  <si>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</si>
  <si>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</si>
  <si>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</si>
  <si>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</si>
  <si>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</si>
  <si>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</si>
  <si>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</si>
  <si>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</si>
  <si>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</si>
  <si>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</si>
  <si>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</si>
  <si>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</si>
  <si>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</si>
  <si>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</si>
  <si>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</si>
  <si>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</si>
  <si>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 Brun Ghemyn Ghelt Laken</t>
  </si>
  <si>
    <t>smale</t>
  </si>
  <si>
    <t>Small</t>
  </si>
  <si>
    <t>Small Brown Medley Cloth</t>
  </si>
  <si>
    <t>Small Cloths</t>
  </si>
  <si>
    <t>Small Vetch Blossom Cloth</t>
  </si>
  <si>
    <t>Small Vetch Blossom Sealed Cloth</t>
  </si>
  <si>
    <t>Small Vetch Colored Cloth</t>
  </si>
  <si>
    <t>Smalle Bruchsche Graeuwe Laken</t>
  </si>
  <si>
    <t>Smalle Brughsche Laken van Vitselbloessemen</t>
  </si>
  <si>
    <t>Smalle Brugsche Laken</t>
  </si>
  <si>
    <t>Smalle Graeuwe Gheloyde Bruchsche Laken</t>
  </si>
  <si>
    <t>Smalle Graeuwe Gheloyde Laken [Bruges?]</t>
  </si>
  <si>
    <t>Smalle Vitsen Bruchsche Laken</t>
  </si>
  <si>
    <t>Smalle Vitsen Laken</t>
  </si>
  <si>
    <t>Smallen Vitschen Laken</t>
  </si>
  <si>
    <t>Smallen Vitse Gheloyde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</si>
  <si>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</si>
  <si>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</si>
  <si>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</si>
  <si>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</si>
  <si>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</si>
  <si>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</si>
  <si>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</si>
  <si>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</si>
  <si>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</si>
  <si>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Stede Meesters + Menestrelen + Scarwetters</t>
  </si>
  <si>
    <t>steenwaerders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</si>
  <si>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</si>
  <si>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</si>
  <si>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</si>
  <si>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</si>
  <si>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</si>
  <si>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</si>
  <si>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</si>
  <si>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</si>
  <si>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</si>
  <si>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 Lakenen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</si>
  <si>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</si>
  <si>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</si>
  <si>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</si>
  <si>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</si>
  <si>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</si>
  <si>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</si>
  <si>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surgeon, physician</t>
  </si>
  <si>
    <t>Surgeons</t>
  </si>
  <si>
    <t>surgiens</t>
  </si>
  <si>
    <t>SYMBOL</t>
  </si>
  <si>
    <t>T</t>
  </si>
  <si>
    <t>talemans</t>
  </si>
  <si>
    <t>Tan</t>
  </si>
  <si>
    <t>Tan Cloth</t>
  </si>
  <si>
    <t>Tanneiden [Rouwaensche] Laken</t>
  </si>
  <si>
    <t>tanneit; thenneyt; tanneyde</t>
  </si>
  <si>
    <t>Tanneyde Lakenen</t>
  </si>
  <si>
    <t>tawny, faun-coloured, tan, light-brown</t>
  </si>
  <si>
    <t>teacher, language teachers</t>
  </si>
  <si>
    <t>TeL</t>
  </si>
  <si>
    <t>Tenneden Rouwaensche Lakenen</t>
  </si>
  <si>
    <t>Tenneiden Rouwaensche Laken</t>
  </si>
  <si>
    <t xml:space="preserve">Tenneit Rouwaensch Laken </t>
  </si>
  <si>
    <t>Tenneiten Rouwaensch Laken</t>
  </si>
  <si>
    <t>Termonde Cloth</t>
  </si>
  <si>
    <t>Termonde Striped Cloth</t>
  </si>
  <si>
    <t>TeSL</t>
  </si>
  <si>
    <t>Textile Terms</t>
  </si>
  <si>
    <t>the Cloth</t>
  </si>
  <si>
    <t>the colour of vetch blossoms: "The tangled vetch's purple bloom"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</si>
  <si>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</si>
  <si>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</si>
  <si>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</si>
  <si>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</si>
  <si>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Thenneye Lakenen</t>
  </si>
  <si>
    <t>Thenneyt Nieukersche Laken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</si>
  <si>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</si>
  <si>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</si>
  <si>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</si>
  <si>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</si>
  <si>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</si>
  <si>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</si>
  <si>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</si>
  <si>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</si>
  <si>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</si>
  <si>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</si>
  <si>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</si>
  <si>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</si>
  <si>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</si>
  <si>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</si>
  <si>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</si>
  <si>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</si>
  <si>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</si>
  <si>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</si>
  <si>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</si>
  <si>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</si>
  <si>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</si>
  <si>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</si>
  <si>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</si>
  <si>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</si>
  <si>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</si>
  <si>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</si>
  <si>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</si>
  <si>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</si>
  <si>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</si>
  <si>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</si>
  <si>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</si>
  <si>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</si>
  <si>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</si>
  <si>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 xml:space="preserve">Turkish Blue </t>
  </si>
  <si>
    <t>UL</t>
  </si>
  <si>
    <t>Units</t>
  </si>
  <si>
    <t>unknown? [geleide: conducted, led]; if ghelijx: the same, or similar cloths</t>
  </si>
  <si>
    <t>Unnamed Cloth</t>
  </si>
  <si>
    <t>Upper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</si>
  <si>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</si>
  <si>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</si>
  <si>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</si>
  <si>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</si>
  <si>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</si>
  <si>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</si>
  <si>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</si>
  <si>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</si>
  <si>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</si>
  <si>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Van Wet Clocken</t>
  </si>
  <si>
    <t>Van Wet Clocken [Buerchmeesters + Tresoriers]</t>
  </si>
  <si>
    <t>VB</t>
  </si>
  <si>
    <t>VBM</t>
  </si>
  <si>
    <t>verzaddene</t>
  </si>
  <si>
    <t>verzienen</t>
  </si>
  <si>
    <t>Vetch Blossom</t>
  </si>
  <si>
    <t>Vetch Blossom Medley</t>
  </si>
  <si>
    <t>Vetch Blossom Sealed Cloth</t>
  </si>
  <si>
    <t>Vetch Blossom Unsealed Cloth</t>
  </si>
  <si>
    <t>ViL</t>
  </si>
  <si>
    <t>Vilvoorde (NW of Brussels: in Brabant)</t>
  </si>
  <si>
    <t>Vilvoorde Cloth</t>
  </si>
  <si>
    <t>vinders</t>
  </si>
  <si>
    <t>Violet</t>
  </si>
  <si>
    <t>violet, light purple</t>
  </si>
  <si>
    <t>violette</t>
  </si>
  <si>
    <t>vitse</t>
  </si>
  <si>
    <t xml:space="preserve">Vitse Lakenen Ongheloit </t>
  </si>
  <si>
    <t>vive, vijf wollen</t>
  </si>
  <si>
    <t>Vivid [Scaerp] Blue</t>
  </si>
  <si>
    <t>voederinghe</t>
  </si>
  <si>
    <t>Voederinghe [Lining] Cloth</t>
  </si>
  <si>
    <t>voerlakenen</t>
  </si>
  <si>
    <t>VoL</t>
  </si>
  <si>
    <t>vulres</t>
  </si>
  <si>
    <t>Vulvorde, Vulvoorde, Vilvoorde</t>
  </si>
  <si>
    <t>W</t>
  </si>
  <si>
    <t>WAB</t>
  </si>
  <si>
    <t>wachters</t>
  </si>
  <si>
    <t>Wachters, Gordijnen, W[eavers] + F[ullers]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</si>
  <si>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</si>
  <si>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</si>
  <si>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</si>
  <si>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</si>
  <si>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</si>
  <si>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</si>
  <si>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</si>
  <si>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</si>
  <si>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</si>
  <si>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werclieden, werklieden</t>
  </si>
  <si>
    <t>Wervex</t>
  </si>
  <si>
    <t>Wervicsche Lakenen</t>
  </si>
  <si>
    <t>Wervik</t>
  </si>
  <si>
    <t>Wervik = Wervicq (SW Flanders: near Ieper</t>
  </si>
  <si>
    <t>Wervik Blue Cloth</t>
  </si>
  <si>
    <t>Wervik Cloth</t>
  </si>
  <si>
    <t>Wervik Fine Green Cloth</t>
  </si>
  <si>
    <t>Wervik Green Cloth</t>
  </si>
  <si>
    <t>Wervik Medley Cloth</t>
  </si>
  <si>
    <t>wet</t>
  </si>
  <si>
    <t>Wet</t>
  </si>
  <si>
    <t>Wet [Van Wet Clocken]</t>
  </si>
  <si>
    <t>Wet + Buerchmeesters</t>
  </si>
  <si>
    <t>wet caproens</t>
  </si>
  <si>
    <t>wet clocken; VWC (van wet clocken)</t>
  </si>
  <si>
    <t>Wet, Buerchmeesters</t>
  </si>
  <si>
    <t>Wet?</t>
  </si>
  <si>
    <t>wevers</t>
  </si>
  <si>
    <t>WG2</t>
  </si>
  <si>
    <t>WG2M</t>
  </si>
  <si>
    <t>white</t>
  </si>
  <si>
    <t>White</t>
  </si>
  <si>
    <t>White Apple Blossom</t>
  </si>
  <si>
    <t>White Cloth</t>
  </si>
  <si>
    <t>White Grey</t>
  </si>
  <si>
    <t>White Grey Cloth</t>
  </si>
  <si>
    <t>White Grey Medley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</si>
  <si>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</si>
  <si>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</si>
  <si>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</si>
  <si>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</si>
  <si>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</si>
  <si>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white-grey-brown colour</t>
  </si>
  <si>
    <t>wit, witte, witten</t>
  </si>
  <si>
    <t>with bells: cloths with bell insignia or seals: perhaps bellaerden woollens</t>
  </si>
  <si>
    <t>witkins</t>
  </si>
  <si>
    <t>Witte Eechsche Witkens te Voederlakene</t>
  </si>
  <si>
    <t>Witte Eecxkins omne voer lake</t>
  </si>
  <si>
    <t>Witte Eexkins</t>
  </si>
  <si>
    <t>Witte Lakenen</t>
  </si>
  <si>
    <t>Witte Voerlakenen</t>
  </si>
  <si>
    <t>Wittegraeuwe Laken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</si>
  <si>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</si>
  <si>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</si>
  <si>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</si>
  <si>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</si>
  <si>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</si>
  <si>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</si>
  <si>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</si>
  <si>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</si>
  <si>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</si>
  <si>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</si>
  <si>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</si>
  <si>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</si>
  <si>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</si>
  <si>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</si>
  <si>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</si>
  <si>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</si>
  <si>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</si>
  <si>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</si>
  <si>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</si>
  <si>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</si>
  <si>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</si>
  <si>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</si>
  <si>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</si>
  <si>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Ypres Cloth</t>
  </si>
  <si>
    <t>Ypres Medley Cloth</t>
  </si>
  <si>
    <t>yscreven</t>
  </si>
  <si>
    <t>YZ</t>
  </si>
  <si>
    <t>zalig = blessed: heavenly blue?</t>
  </si>
  <si>
    <t>Zeeusch</t>
  </si>
  <si>
    <t>zeghelen</t>
  </si>
  <si>
    <t>Zeghelwanweed Blue</t>
  </si>
  <si>
    <t>Zichem = Brabant (east-central, east of Mechelen)</t>
  </si>
  <si>
    <t>Zichen Cloth</t>
  </si>
  <si>
    <t>Zichensche, Zichem</t>
  </si>
  <si>
    <t>ziden, zieden</t>
  </si>
  <si>
    <t>ZL</t>
  </si>
  <si>
    <t>Zwart Laken</t>
  </si>
  <si>
    <t>Zwart Lakenen</t>
  </si>
  <si>
    <t>Zwart Lakin</t>
  </si>
  <si>
    <t>Zwart Nieukeercsche Lakenen</t>
  </si>
  <si>
    <t>zwart, zward, zwards</t>
  </si>
  <si>
    <t>Zwarte Fine Bruchsche Laken</t>
  </si>
  <si>
    <t>Zwarten Nieukeercsche Lakenen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</si>
</sst>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40"/>
      <name val="Cambria"/>
      <family val="2"/>
    </font>
    <font>
      <b/>
      <sz val="11"/>
      <color indexed="40"/>
      <name val="Calibri"/>
      <family val="2"/>
    </font>
    <font>
      <sz val="11"/>
      <color indexed="50"/>
      <name val="Calibri"/>
      <family val="2"/>
    </font>
    <font>
      <sz val="11"/>
      <color indexed="45"/>
      <name val="Calibri"/>
      <family val="2"/>
    </font>
    <font>
      <sz val="11"/>
      <color indexed="34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2" fillId="0" borderId="0" applyNumberFormat="0" applyFill="0" applyBorder="0" applyAlignment="0" applyProtection="0"/>
    <xf numFmtId="2" fontId="0" fillId="0" borderId="0">
      <alignment/>
      <protection/>
    </xf>
    <xf numFmtId="0" fontId="2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7">
      <alignment/>
      <protection/>
    </xf>
    <xf numFmtId="0" fontId="3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00C060"/>
      <rgbColor rgb="0000C0C0"/>
      <rgbColor rgb="000060C0"/>
      <rgbColor rgb="000000C0"/>
      <rgbColor rgb="006000C0"/>
      <rgbColor rgb="00C000C0"/>
      <rgbColor rgb="00C00060"/>
      <rgbColor rgb="00800040"/>
      <rgbColor rgb="00800080"/>
      <rgbColor rgb="00400080"/>
      <rgbColor rgb="00000080"/>
      <rgbColor rgb="00008080"/>
      <rgbColor rgb="0000804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46.00390625" style="0" customWidth="1"/>
    <col min="7" max="7" width="12.28125" style="0" customWidth="1"/>
  </cols>
  <sheetData>
    <row r="1" ht="12.75">
      <c r="C1" s="29" t="s">
        <v>945</v>
      </c>
    </row>
    <row r="3" spans="1:7" ht="12.75">
      <c r="A3" s="18" t="s">
        <v>1530</v>
      </c>
      <c r="C3" s="1" t="s">
        <v>1534</v>
      </c>
      <c r="E3" s="1" t="s">
        <v>671</v>
      </c>
      <c r="G3" s="1" t="s">
        <v>1534</v>
      </c>
    </row>
    <row r="5" spans="1:7" ht="12.75">
      <c r="A5" s="1" t="s">
        <v>635</v>
      </c>
      <c r="C5" t="s">
        <v>629</v>
      </c>
      <c r="E5" s="1" t="s">
        <v>400</v>
      </c>
      <c r="G5" t="s">
        <v>0</v>
      </c>
    </row>
    <row r="6" spans="1:7" ht="12.75">
      <c r="A6" s="1" t="s">
        <v>715</v>
      </c>
      <c r="C6" t="s">
        <v>704</v>
      </c>
      <c r="E6" s="1" t="s">
        <v>397</v>
      </c>
      <c r="G6" t="s">
        <v>380</v>
      </c>
    </row>
    <row r="7" spans="1:7" ht="12.75">
      <c r="A7" s="1" t="s">
        <v>752</v>
      </c>
      <c r="C7" t="s">
        <v>774</v>
      </c>
      <c r="E7" s="1" t="s">
        <v>398</v>
      </c>
      <c r="G7" t="s">
        <v>381</v>
      </c>
    </row>
    <row r="8" spans="1:7" ht="12.75">
      <c r="A8" s="1" t="s">
        <v>942</v>
      </c>
      <c r="C8" t="s">
        <v>896</v>
      </c>
      <c r="E8" s="1" t="s">
        <v>399</v>
      </c>
      <c r="G8" t="s">
        <v>382</v>
      </c>
    </row>
    <row r="9" spans="1:7" ht="12.75">
      <c r="A9" s="1" t="s">
        <v>957</v>
      </c>
      <c r="C9" t="s">
        <v>958</v>
      </c>
      <c r="E9" s="1" t="s">
        <v>411</v>
      </c>
      <c r="G9" t="s">
        <v>407</v>
      </c>
    </row>
    <row r="10" spans="1:7" ht="12.75">
      <c r="A10" s="1" t="s">
        <v>1125</v>
      </c>
      <c r="C10" t="s">
        <v>1011</v>
      </c>
      <c r="E10" s="1" t="s">
        <v>412</v>
      </c>
      <c r="G10" t="s">
        <v>413</v>
      </c>
    </row>
    <row r="11" spans="1:7" ht="12.75">
      <c r="A11" s="1" t="s">
        <v>1467</v>
      </c>
      <c r="C11" t="s">
        <v>1414</v>
      </c>
      <c r="E11" s="1" t="s">
        <v>496</v>
      </c>
      <c r="G11" t="s">
        <v>416</v>
      </c>
    </row>
    <row r="12" spans="1:7" ht="12.75">
      <c r="A12" s="1" t="s">
        <v>1445</v>
      </c>
      <c r="C12" t="s">
        <v>1431</v>
      </c>
      <c r="E12" s="1" t="s">
        <v>401</v>
      </c>
      <c r="G12" t="s">
        <v>417</v>
      </c>
    </row>
    <row r="13" spans="1:7" ht="12.75">
      <c r="A13" s="1" t="s">
        <v>1446</v>
      </c>
      <c r="C13" t="s">
        <v>1453</v>
      </c>
      <c r="E13" s="1" t="s">
        <v>385</v>
      </c>
      <c r="G13" t="s">
        <v>418</v>
      </c>
    </row>
    <row r="14" spans="1:7" ht="12.75">
      <c r="A14" s="1" t="s">
        <v>1521</v>
      </c>
      <c r="C14" t="s">
        <v>1460</v>
      </c>
      <c r="E14" s="1" t="s">
        <v>1029</v>
      </c>
      <c r="G14" t="s">
        <v>419</v>
      </c>
    </row>
    <row r="15" spans="1:7" ht="12.75">
      <c r="A15" s="1" t="s">
        <v>1520</v>
      </c>
      <c r="C15" t="s">
        <v>1483</v>
      </c>
      <c r="E15" s="1" t="s">
        <v>1030</v>
      </c>
      <c r="G15" t="s">
        <v>420</v>
      </c>
    </row>
    <row r="16" spans="1:7" ht="12.75">
      <c r="A16" s="1" t="s">
        <v>1508</v>
      </c>
      <c r="C16" t="s">
        <v>1511</v>
      </c>
      <c r="E16" s="1" t="s">
        <v>1084</v>
      </c>
      <c r="G16" t="s">
        <v>421</v>
      </c>
    </row>
    <row r="17" spans="1:7" ht="12.75">
      <c r="A17" s="1" t="s">
        <v>1516</v>
      </c>
      <c r="C17" t="s">
        <v>1517</v>
      </c>
      <c r="E17" s="1" t="s">
        <v>499</v>
      </c>
      <c r="G17" t="s">
        <v>422</v>
      </c>
    </row>
    <row r="18" spans="1:7" ht="12.75">
      <c r="A18" s="1" t="s">
        <v>1598</v>
      </c>
      <c r="C18" t="s">
        <v>1595</v>
      </c>
      <c r="E18" s="1" t="s">
        <v>1299</v>
      </c>
      <c r="G18" t="s">
        <v>424</v>
      </c>
    </row>
    <row r="19" spans="1:7" ht="12.75">
      <c r="A19" s="1" t="s">
        <v>1631</v>
      </c>
      <c r="C19" t="s">
        <v>1633</v>
      </c>
      <c r="E19" s="1" t="s">
        <v>1300</v>
      </c>
      <c r="G19" t="s">
        <v>425</v>
      </c>
    </row>
    <row r="20" spans="1:7" ht="12.75">
      <c r="A20" s="1" t="s">
        <v>1642</v>
      </c>
      <c r="C20" t="s">
        <v>1693</v>
      </c>
      <c r="E20" s="1" t="s">
        <v>1368</v>
      </c>
      <c r="G20" t="s">
        <v>426</v>
      </c>
    </row>
    <row r="21" spans="5:7" ht="12.75">
      <c r="E21" s="1" t="s">
        <v>1482</v>
      </c>
      <c r="G21" t="s">
        <v>427</v>
      </c>
    </row>
    <row r="22" spans="1:7" ht="12.75">
      <c r="A22" s="1" t="s">
        <v>377</v>
      </c>
      <c r="C22" t="s">
        <v>389</v>
      </c>
      <c r="E22" s="1" t="s">
        <v>500</v>
      </c>
      <c r="G22" t="s">
        <v>428</v>
      </c>
    </row>
    <row r="23" spans="1:7" ht="12.75">
      <c r="A23" s="1" t="s">
        <v>456</v>
      </c>
      <c r="C23" t="s">
        <v>464</v>
      </c>
      <c r="E23" s="1" t="s">
        <v>502</v>
      </c>
      <c r="G23" t="s">
        <v>429</v>
      </c>
    </row>
    <row r="24" spans="1:7" ht="12.75">
      <c r="A24" s="1" t="s">
        <v>546</v>
      </c>
      <c r="C24" t="s">
        <v>509</v>
      </c>
      <c r="E24" s="1" t="s">
        <v>1594</v>
      </c>
      <c r="G24" t="s">
        <v>430</v>
      </c>
    </row>
    <row r="25" spans="1:7" ht="12.75">
      <c r="A25" s="1" t="s">
        <v>589</v>
      </c>
      <c r="C25" t="s">
        <v>507</v>
      </c>
      <c r="E25" s="1" t="s">
        <v>1095</v>
      </c>
      <c r="G25" t="s">
        <v>431</v>
      </c>
    </row>
    <row r="26" spans="1:7" ht="12.75">
      <c r="A26" s="1" t="s">
        <v>596</v>
      </c>
      <c r="C26" t="s">
        <v>527</v>
      </c>
      <c r="E26" s="1" t="s">
        <v>1629</v>
      </c>
      <c r="G26" t="s">
        <v>432</v>
      </c>
    </row>
    <row r="27" spans="1:7" ht="12.75">
      <c r="A27" s="1" t="s">
        <v>599</v>
      </c>
      <c r="C27" t="s">
        <v>616</v>
      </c>
      <c r="E27" s="1" t="s">
        <v>1722</v>
      </c>
      <c r="G27" t="s">
        <v>433</v>
      </c>
    </row>
    <row r="28" spans="1:7" ht="12.75">
      <c r="A28" s="1" t="s">
        <v>614</v>
      </c>
      <c r="C28" t="s">
        <v>623</v>
      </c>
      <c r="E28" s="1" t="s">
        <v>693</v>
      </c>
      <c r="G28" t="s">
        <v>434</v>
      </c>
    </row>
    <row r="29" spans="1:7" ht="12.75">
      <c r="A29" s="1" t="s">
        <v>613</v>
      </c>
      <c r="C29" t="s">
        <v>624</v>
      </c>
      <c r="E29" s="1" t="s">
        <v>694</v>
      </c>
      <c r="G29" t="s">
        <v>436</v>
      </c>
    </row>
    <row r="30" spans="1:7" ht="12.75">
      <c r="A30" s="1" t="s">
        <v>631</v>
      </c>
      <c r="C30" t="s">
        <v>661</v>
      </c>
      <c r="E30" s="1" t="s">
        <v>499</v>
      </c>
      <c r="G30" t="s">
        <v>422</v>
      </c>
    </row>
    <row r="31" spans="1:7" ht="12.75">
      <c r="A31" s="1" t="s">
        <v>672</v>
      </c>
      <c r="C31" t="s">
        <v>667</v>
      </c>
      <c r="E31" s="1" t="s">
        <v>503</v>
      </c>
      <c r="G31" t="s">
        <v>423</v>
      </c>
    </row>
    <row r="32" spans="1:7" ht="12.75">
      <c r="A32" s="1" t="s">
        <v>673</v>
      </c>
      <c r="C32" t="s">
        <v>666</v>
      </c>
      <c r="E32" s="1" t="s">
        <v>514</v>
      </c>
      <c r="G32" t="s">
        <v>437</v>
      </c>
    </row>
    <row r="33" spans="1:7" ht="12.75">
      <c r="A33" s="1" t="s">
        <v>686</v>
      </c>
      <c r="C33" t="s">
        <v>650</v>
      </c>
      <c r="E33" s="1" t="s">
        <v>515</v>
      </c>
      <c r="G33" t="s">
        <v>438</v>
      </c>
    </row>
    <row r="34" spans="1:7" ht="12.75">
      <c r="A34" s="1" t="s">
        <v>685</v>
      </c>
      <c r="C34" t="s">
        <v>643</v>
      </c>
      <c r="E34" s="1" t="s">
        <v>1085</v>
      </c>
      <c r="G34" t="s">
        <v>441</v>
      </c>
    </row>
    <row r="35" spans="1:7" ht="12.75">
      <c r="A35" s="1" t="s">
        <v>684</v>
      </c>
      <c r="C35" t="s">
        <v>646</v>
      </c>
      <c r="E35" s="1" t="s">
        <v>695</v>
      </c>
      <c r="G35" t="s">
        <v>452</v>
      </c>
    </row>
    <row r="36" spans="1:7" ht="12.75">
      <c r="A36" s="1" t="s">
        <v>718</v>
      </c>
      <c r="C36" t="s">
        <v>709</v>
      </c>
      <c r="E36" s="1" t="s">
        <v>519</v>
      </c>
      <c r="G36" t="s">
        <v>442</v>
      </c>
    </row>
    <row r="37" spans="1:7" ht="12.75">
      <c r="A37" s="1" t="s">
        <v>719</v>
      </c>
      <c r="C37" t="s">
        <v>713</v>
      </c>
      <c r="E37" s="1" t="s">
        <v>516</v>
      </c>
      <c r="G37" t="s">
        <v>443</v>
      </c>
    </row>
    <row r="38" spans="1:7" ht="12.75">
      <c r="A38" s="1" t="s">
        <v>722</v>
      </c>
      <c r="C38" t="s">
        <v>721</v>
      </c>
      <c r="E38" s="1" t="s">
        <v>521</v>
      </c>
      <c r="G38" t="s">
        <v>444</v>
      </c>
    </row>
    <row r="39" spans="1:7" ht="12.75">
      <c r="A39" s="1" t="s">
        <v>736</v>
      </c>
      <c r="C39" t="s">
        <v>727</v>
      </c>
      <c r="E39" s="1" t="s">
        <v>523</v>
      </c>
      <c r="G39" t="s">
        <v>446</v>
      </c>
    </row>
    <row r="40" spans="1:7" ht="12.75">
      <c r="A40" s="1" t="s">
        <v>761</v>
      </c>
      <c r="C40" t="s">
        <v>772</v>
      </c>
      <c r="E40" s="1" t="s">
        <v>522</v>
      </c>
      <c r="G40" t="s">
        <v>447</v>
      </c>
    </row>
    <row r="41" spans="1:7" ht="12.75">
      <c r="A41" s="1" t="s">
        <v>762</v>
      </c>
      <c r="C41" t="s">
        <v>773</v>
      </c>
      <c r="E41" s="1" t="s">
        <v>525</v>
      </c>
      <c r="G41" t="s">
        <v>448</v>
      </c>
    </row>
    <row r="42" spans="1:7" ht="12.75">
      <c r="A42" s="1" t="s">
        <v>768</v>
      </c>
      <c r="C42" t="s">
        <v>769</v>
      </c>
      <c r="E42" s="1" t="s">
        <v>524</v>
      </c>
      <c r="G42" t="s">
        <v>451</v>
      </c>
    </row>
    <row r="43" spans="1:7" ht="12.75">
      <c r="A43" s="1" t="s">
        <v>797</v>
      </c>
      <c r="C43" t="s">
        <v>888</v>
      </c>
      <c r="E43" s="1" t="s">
        <v>1519</v>
      </c>
      <c r="G43" t="s">
        <v>449</v>
      </c>
    </row>
    <row r="44" spans="1:7" ht="12.75">
      <c r="A44" s="1" t="s">
        <v>947</v>
      </c>
      <c r="C44" t="s">
        <v>1012</v>
      </c>
      <c r="E44" s="1" t="s">
        <v>517</v>
      </c>
      <c r="G44" t="s">
        <v>439</v>
      </c>
    </row>
    <row r="45" spans="1:7" ht="12.75">
      <c r="A45" s="1" t="s">
        <v>944</v>
      </c>
      <c r="C45" t="s">
        <v>1016</v>
      </c>
      <c r="E45" s="1" t="s">
        <v>518</v>
      </c>
      <c r="G45" t="s">
        <v>440</v>
      </c>
    </row>
    <row r="46" spans="1:7" ht="12.75">
      <c r="A46" s="1" t="s">
        <v>946</v>
      </c>
      <c r="C46" t="s">
        <v>1014</v>
      </c>
      <c r="E46" s="1" t="s">
        <v>526</v>
      </c>
      <c r="G46" t="s">
        <v>450</v>
      </c>
    </row>
    <row r="47" spans="1:7" ht="12.75">
      <c r="A47" s="1" t="s">
        <v>949</v>
      </c>
      <c r="C47" t="s">
        <v>1017</v>
      </c>
      <c r="E47" s="1" t="s">
        <v>479</v>
      </c>
      <c r="G47" t="s">
        <v>453</v>
      </c>
    </row>
    <row r="48" spans="1:7" ht="12.75">
      <c r="A48" s="1" t="s">
        <v>950</v>
      </c>
      <c r="C48" t="s">
        <v>1015</v>
      </c>
      <c r="E48" s="1" t="s">
        <v>1477</v>
      </c>
      <c r="G48" t="s">
        <v>642</v>
      </c>
    </row>
    <row r="49" spans="1:7" ht="12.75">
      <c r="A49" s="1" t="s">
        <v>948</v>
      </c>
      <c r="C49" t="s">
        <v>1013</v>
      </c>
      <c r="E49" s="1" t="s">
        <v>990</v>
      </c>
      <c r="G49" t="s">
        <v>897</v>
      </c>
    </row>
    <row r="50" spans="1:7" ht="12.75">
      <c r="A50" s="1" t="s">
        <v>1026</v>
      </c>
      <c r="C50" t="s">
        <v>1042</v>
      </c>
      <c r="E50" s="1" t="s">
        <v>1087</v>
      </c>
      <c r="G50" t="s">
        <v>899</v>
      </c>
    </row>
    <row r="51" spans="1:7" ht="12.75">
      <c r="A51" s="1" t="s">
        <v>1027</v>
      </c>
      <c r="C51" t="s">
        <v>1040</v>
      </c>
      <c r="E51" s="1" t="s">
        <v>1088</v>
      </c>
      <c r="G51" t="s">
        <v>900</v>
      </c>
    </row>
    <row r="52" spans="1:7" ht="12.75">
      <c r="A52" s="1" t="s">
        <v>1036</v>
      </c>
      <c r="C52" t="s">
        <v>1032</v>
      </c>
      <c r="E52" s="1" t="s">
        <v>992</v>
      </c>
      <c r="G52" t="s">
        <v>901</v>
      </c>
    </row>
    <row r="53" spans="1:7" ht="12.75">
      <c r="A53" s="1" t="s">
        <v>1038</v>
      </c>
      <c r="C53" t="s">
        <v>1031</v>
      </c>
      <c r="E53" s="1" t="s">
        <v>993</v>
      </c>
      <c r="G53" t="s">
        <v>902</v>
      </c>
    </row>
    <row r="54" spans="1:7" ht="12.75">
      <c r="A54" s="1" t="s">
        <v>1099</v>
      </c>
      <c r="C54" t="s">
        <v>1107</v>
      </c>
      <c r="E54" s="1" t="s">
        <v>994</v>
      </c>
      <c r="G54" t="s">
        <v>903</v>
      </c>
    </row>
    <row r="55" spans="1:7" ht="12.75">
      <c r="A55" s="1" t="s">
        <v>1078</v>
      </c>
      <c r="C55" t="s">
        <v>1077</v>
      </c>
      <c r="E55" s="1" t="s">
        <v>696</v>
      </c>
      <c r="G55" t="s">
        <v>904</v>
      </c>
    </row>
    <row r="56" spans="1:7" ht="12.75">
      <c r="A56" s="1" t="s">
        <v>1082</v>
      </c>
      <c r="C56" t="s">
        <v>1097</v>
      </c>
      <c r="E56" s="1" t="s">
        <v>698</v>
      </c>
      <c r="G56" t="s">
        <v>905</v>
      </c>
    </row>
    <row r="57" spans="1:7" ht="12.75">
      <c r="A57" s="1" t="s">
        <v>1120</v>
      </c>
      <c r="C57" t="s">
        <v>1155</v>
      </c>
      <c r="E57" s="1" t="s">
        <v>996</v>
      </c>
      <c r="G57" t="s">
        <v>906</v>
      </c>
    </row>
    <row r="58" spans="1:7" ht="12.75">
      <c r="A58" s="1" t="s">
        <v>1121</v>
      </c>
      <c r="C58" t="s">
        <v>1146</v>
      </c>
      <c r="E58" s="1" t="s">
        <v>1090</v>
      </c>
      <c r="G58" t="s">
        <v>908</v>
      </c>
    </row>
    <row r="59" spans="1:7" ht="12.75">
      <c r="A59" s="1" t="s">
        <v>1138</v>
      </c>
      <c r="C59" t="s">
        <v>1130</v>
      </c>
      <c r="E59" s="1" t="s">
        <v>1073</v>
      </c>
      <c r="G59" t="s">
        <v>909</v>
      </c>
    </row>
    <row r="60" spans="1:7" ht="12.75">
      <c r="A60" s="1" t="s">
        <v>1139</v>
      </c>
      <c r="C60" t="s">
        <v>1129</v>
      </c>
      <c r="E60" s="1" t="s">
        <v>1091</v>
      </c>
      <c r="G60" t="s">
        <v>910</v>
      </c>
    </row>
    <row r="61" spans="1:7" ht="12.75">
      <c r="A61" s="1" t="s">
        <v>1144</v>
      </c>
      <c r="C61" t="s">
        <v>1168</v>
      </c>
      <c r="E61" s="1" t="s">
        <v>999</v>
      </c>
      <c r="G61" t="s">
        <v>911</v>
      </c>
    </row>
    <row r="62" spans="1:7" ht="12.75">
      <c r="A62" s="1" t="s">
        <v>1161</v>
      </c>
      <c r="C62" t="s">
        <v>1156</v>
      </c>
      <c r="E62" s="1" t="s">
        <v>1429</v>
      </c>
      <c r="G62" t="s">
        <v>912</v>
      </c>
    </row>
    <row r="63" spans="1:7" ht="12.75">
      <c r="A63" s="1" t="s">
        <v>1163</v>
      </c>
      <c r="C63" t="s">
        <v>1170</v>
      </c>
      <c r="E63" s="1" t="s">
        <v>699</v>
      </c>
      <c r="G63" t="s">
        <v>913</v>
      </c>
    </row>
    <row r="64" spans="1:7" ht="12.75">
      <c r="A64" s="1" t="s">
        <v>1205</v>
      </c>
      <c r="C64" t="s">
        <v>1201</v>
      </c>
      <c r="E64" s="1" t="s">
        <v>701</v>
      </c>
      <c r="G64" t="s">
        <v>914</v>
      </c>
    </row>
    <row r="65" spans="1:7" ht="12.75">
      <c r="A65" s="1" t="s">
        <v>1209</v>
      </c>
      <c r="C65" t="s">
        <v>1200</v>
      </c>
      <c r="E65" s="1" t="s">
        <v>959</v>
      </c>
      <c r="G65" t="s">
        <v>915</v>
      </c>
    </row>
    <row r="66" spans="1:7" ht="12.75">
      <c r="A66" s="1" t="s">
        <v>1218</v>
      </c>
      <c r="C66" t="s">
        <v>1226</v>
      </c>
      <c r="E66" s="1" t="s">
        <v>626</v>
      </c>
      <c r="G66" t="s">
        <v>1021</v>
      </c>
    </row>
    <row r="67" spans="1:7" ht="12.75">
      <c r="A67" s="1" t="s">
        <v>1258</v>
      </c>
      <c r="C67" t="s">
        <v>1251</v>
      </c>
      <c r="E67" s="1" t="s">
        <v>627</v>
      </c>
      <c r="G67" t="s">
        <v>1048</v>
      </c>
    </row>
    <row r="68" spans="1:7" ht="12.75">
      <c r="A68" s="1" t="s">
        <v>1259</v>
      </c>
      <c r="C68" t="s">
        <v>1250</v>
      </c>
      <c r="E68" s="1" t="s">
        <v>1124</v>
      </c>
      <c r="G68" t="s">
        <v>1109</v>
      </c>
    </row>
    <row r="69" spans="1:7" ht="12.75">
      <c r="A69" s="1" t="s">
        <v>1409</v>
      </c>
      <c r="C69" t="s">
        <v>1389</v>
      </c>
      <c r="E69" s="1" t="s">
        <v>1092</v>
      </c>
      <c r="G69" t="s">
        <v>1155</v>
      </c>
    </row>
    <row r="70" spans="1:7" ht="12.75">
      <c r="A70" s="1" t="s">
        <v>1411</v>
      </c>
      <c r="C70" t="s">
        <v>1395</v>
      </c>
      <c r="E70" s="1" t="s">
        <v>748</v>
      </c>
      <c r="G70" t="s">
        <v>1111</v>
      </c>
    </row>
    <row r="71" spans="1:7" ht="12.75">
      <c r="A71" s="1" t="s">
        <v>1412</v>
      </c>
      <c r="C71" t="s">
        <v>1394</v>
      </c>
      <c r="E71" s="1" t="s">
        <v>1123</v>
      </c>
      <c r="G71" t="s">
        <v>1118</v>
      </c>
    </row>
    <row r="72" spans="1:7" ht="12.75">
      <c r="A72" s="1" t="s">
        <v>1420</v>
      </c>
      <c r="C72" t="s">
        <v>1505</v>
      </c>
      <c r="E72" s="1" t="s">
        <v>1447</v>
      </c>
      <c r="G72" t="s">
        <v>1167</v>
      </c>
    </row>
    <row r="73" spans="1:7" ht="12.75">
      <c r="A73" s="1" t="s">
        <v>1421</v>
      </c>
      <c r="C73" t="s">
        <v>1504</v>
      </c>
      <c r="E73" s="1" t="s">
        <v>1198</v>
      </c>
      <c r="G73" t="s">
        <v>1173</v>
      </c>
    </row>
    <row r="74" spans="1:7" ht="12.75">
      <c r="A74" s="1" t="s">
        <v>1585</v>
      </c>
      <c r="C74" t="s">
        <v>1574</v>
      </c>
      <c r="E74" s="1" t="s">
        <v>1199</v>
      </c>
      <c r="G74" t="s">
        <v>1230</v>
      </c>
    </row>
    <row r="75" spans="1:7" ht="12.75">
      <c r="A75" s="1" t="s">
        <v>1549</v>
      </c>
      <c r="C75" t="s">
        <v>1544</v>
      </c>
      <c r="E75" s="1" t="s">
        <v>1254</v>
      </c>
      <c r="G75" t="s">
        <v>1237</v>
      </c>
    </row>
    <row r="76" spans="1:7" ht="12.75">
      <c r="A76" s="1" t="s">
        <v>1550</v>
      </c>
      <c r="C76" t="s">
        <v>1551</v>
      </c>
      <c r="E76" s="1" t="s">
        <v>1347</v>
      </c>
      <c r="G76" t="s">
        <v>1262</v>
      </c>
    </row>
    <row r="77" spans="1:7" ht="12.75">
      <c r="A77" s="1" t="s">
        <v>1605</v>
      </c>
      <c r="C77" t="s">
        <v>1602</v>
      </c>
      <c r="E77" s="1" t="s">
        <v>1296</v>
      </c>
      <c r="G77" t="s">
        <v>1269</v>
      </c>
    </row>
    <row r="78" spans="1:7" ht="12.75">
      <c r="A78" s="1" t="s">
        <v>1621</v>
      </c>
      <c r="C78" t="s">
        <v>1619</v>
      </c>
      <c r="E78" s="1" t="s">
        <v>1298</v>
      </c>
      <c r="G78" t="s">
        <v>1272</v>
      </c>
    </row>
    <row r="79" spans="1:7" ht="12.75">
      <c r="A79" s="1" t="s">
        <v>1655</v>
      </c>
      <c r="C79" t="s">
        <v>1648</v>
      </c>
      <c r="E79" s="1" t="s">
        <v>1301</v>
      </c>
      <c r="G79" t="s">
        <v>1273</v>
      </c>
    </row>
    <row r="80" spans="1:7" ht="12.75">
      <c r="A80" s="1" t="s">
        <v>1658</v>
      </c>
      <c r="C80" t="s">
        <v>1647</v>
      </c>
      <c r="E80" s="1" t="s">
        <v>1302</v>
      </c>
      <c r="G80" t="s">
        <v>1274</v>
      </c>
    </row>
    <row r="81" spans="1:7" ht="12.75">
      <c r="A81" s="1" t="s">
        <v>1715</v>
      </c>
      <c r="C81" t="s">
        <v>1712</v>
      </c>
      <c r="E81" s="1" t="s">
        <v>1307</v>
      </c>
      <c r="G81" t="s">
        <v>1310</v>
      </c>
    </row>
    <row r="82" spans="1:7" ht="12.75">
      <c r="A82" s="1" t="s">
        <v>1716</v>
      </c>
      <c r="C82" t="s">
        <v>1710</v>
      </c>
      <c r="E82" s="1" t="s">
        <v>1303</v>
      </c>
      <c r="G82" t="s">
        <v>1275</v>
      </c>
    </row>
    <row r="83" spans="1:7" ht="12.75">
      <c r="A83" s="1" t="s">
        <v>1724</v>
      </c>
      <c r="C83" t="s">
        <v>1727</v>
      </c>
      <c r="E83" s="1" t="s">
        <v>1304</v>
      </c>
      <c r="G83" t="s">
        <v>1276</v>
      </c>
    </row>
    <row r="84" spans="1:7" ht="12.75">
      <c r="A84" s="1"/>
      <c r="E84" s="1" t="s">
        <v>1306</v>
      </c>
      <c r="G84" t="s">
        <v>1280</v>
      </c>
    </row>
    <row r="85" spans="1:7" ht="12.75">
      <c r="A85" s="1"/>
      <c r="E85" s="1" t="s">
        <v>702</v>
      </c>
      <c r="G85" t="s">
        <v>1311</v>
      </c>
    </row>
    <row r="86" spans="1:7" ht="12.75">
      <c r="A86" s="1"/>
      <c r="E86" s="1" t="s">
        <v>1321</v>
      </c>
      <c r="G86" t="s">
        <v>1318</v>
      </c>
    </row>
    <row r="87" spans="1:7" ht="12.75">
      <c r="A87" s="1"/>
      <c r="E87" s="1" t="s">
        <v>1270</v>
      </c>
      <c r="G87" t="s">
        <v>1333</v>
      </c>
    </row>
    <row r="88" spans="1:7" ht="12.75">
      <c r="A88" s="1"/>
      <c r="E88" s="1" t="s">
        <v>1371</v>
      </c>
      <c r="G88" t="s">
        <v>1349</v>
      </c>
    </row>
    <row r="89" spans="1:7" ht="12.75">
      <c r="A89" s="1"/>
      <c r="E89" s="1" t="s">
        <v>1374</v>
      </c>
      <c r="G89" t="s">
        <v>1350</v>
      </c>
    </row>
    <row r="90" spans="1:7" ht="12.75">
      <c r="A90" s="1"/>
      <c r="E90" s="1" t="s">
        <v>1375</v>
      </c>
      <c r="G90" t="s">
        <v>1351</v>
      </c>
    </row>
    <row r="91" spans="1:7" ht="12.75">
      <c r="A91" s="1"/>
      <c r="E91" s="1" t="s">
        <v>1378</v>
      </c>
      <c r="G91" t="s">
        <v>1352</v>
      </c>
    </row>
    <row r="92" spans="1:7" ht="12.75">
      <c r="A92" s="1"/>
      <c r="E92" s="1" t="s">
        <v>1376</v>
      </c>
      <c r="G92" t="s">
        <v>1353</v>
      </c>
    </row>
    <row r="93" spans="1:7" ht="12.75">
      <c r="A93" s="1"/>
      <c r="E93" s="1" t="s">
        <v>1372</v>
      </c>
      <c r="G93" t="s">
        <v>1354</v>
      </c>
    </row>
    <row r="94" spans="1:7" ht="12.75">
      <c r="A94" s="1"/>
      <c r="E94" s="1" t="s">
        <v>1377</v>
      </c>
      <c r="G94" t="s">
        <v>1355</v>
      </c>
    </row>
    <row r="95" spans="1:7" ht="12.75">
      <c r="A95" s="1"/>
      <c r="E95" s="1" t="s">
        <v>1379</v>
      </c>
      <c r="G95" t="s">
        <v>1356</v>
      </c>
    </row>
    <row r="96" spans="1:7" ht="12.75">
      <c r="A96" s="1"/>
      <c r="E96" s="1" t="s">
        <v>1381</v>
      </c>
      <c r="G96" t="s">
        <v>1357</v>
      </c>
    </row>
    <row r="97" spans="1:7" ht="12.75">
      <c r="A97" s="1"/>
      <c r="E97" s="1" t="s">
        <v>1400</v>
      </c>
      <c r="G97" t="s">
        <v>1358</v>
      </c>
    </row>
    <row r="98" spans="1:7" ht="12.75">
      <c r="A98" s="1"/>
      <c r="E98" s="1" t="s">
        <v>1401</v>
      </c>
      <c r="G98" t="s">
        <v>1359</v>
      </c>
    </row>
    <row r="99" spans="1:7" ht="12.75">
      <c r="A99" s="1"/>
      <c r="E99" s="1" t="s">
        <v>1402</v>
      </c>
      <c r="G99" t="s">
        <v>1360</v>
      </c>
    </row>
    <row r="100" spans="1:7" ht="12.75">
      <c r="A100" s="1"/>
      <c r="E100" s="1" t="s">
        <v>1424</v>
      </c>
      <c r="G100" t="s">
        <v>1361</v>
      </c>
    </row>
    <row r="101" spans="1:7" ht="12.75">
      <c r="A101" s="1"/>
      <c r="E101" s="1" t="s">
        <v>1093</v>
      </c>
      <c r="G101" t="s">
        <v>1362</v>
      </c>
    </row>
    <row r="102" spans="1:7" ht="12.75">
      <c r="A102" s="1"/>
      <c r="E102" s="1" t="s">
        <v>1425</v>
      </c>
      <c r="G102" t="s">
        <v>1363</v>
      </c>
    </row>
    <row r="103" spans="1:7" ht="12.75">
      <c r="A103" s="1"/>
      <c r="E103" s="1" t="s">
        <v>1521</v>
      </c>
      <c r="G103" t="s">
        <v>1486</v>
      </c>
    </row>
    <row r="104" spans="1:7" ht="12.75">
      <c r="A104" s="1"/>
      <c r="E104" s="1" t="s">
        <v>1525</v>
      </c>
      <c r="G104" t="s">
        <v>1523</v>
      </c>
    </row>
    <row r="105" spans="1:7" ht="12.75">
      <c r="A105" s="1"/>
      <c r="E105" s="1" t="s">
        <v>1537</v>
      </c>
      <c r="G105" t="s">
        <v>1535</v>
      </c>
    </row>
    <row r="106" spans="1:7" ht="12.75">
      <c r="A106" s="1"/>
      <c r="E106" s="1" t="s">
        <v>1094</v>
      </c>
      <c r="G106" t="s">
        <v>1561</v>
      </c>
    </row>
    <row r="107" spans="1:7" ht="12.75">
      <c r="A107" s="1"/>
      <c r="E107" s="1" t="s">
        <v>1623</v>
      </c>
      <c r="G107" t="s">
        <v>1600</v>
      </c>
    </row>
    <row r="108" spans="1:7" ht="12.75">
      <c r="A108" s="1"/>
      <c r="E108" s="1" t="s">
        <v>1615</v>
      </c>
      <c r="G108" t="s">
        <v>1611</v>
      </c>
    </row>
    <row r="109" spans="1:7" ht="12.75">
      <c r="A109" s="1"/>
      <c r="E109" s="1" t="s">
        <v>1616</v>
      </c>
      <c r="G109" t="s">
        <v>1612</v>
      </c>
    </row>
    <row r="110" spans="1:7" ht="12.75">
      <c r="A110" s="1"/>
      <c r="E110" s="1" t="s">
        <v>1671</v>
      </c>
      <c r="G110" t="s">
        <v>1636</v>
      </c>
    </row>
    <row r="111" spans="1:7" ht="12.75">
      <c r="A111" s="1"/>
      <c r="E111" s="1" t="s">
        <v>1672</v>
      </c>
      <c r="G111" t="s">
        <v>1637</v>
      </c>
    </row>
    <row r="112" spans="1:7" ht="12.75">
      <c r="A112" s="1"/>
      <c r="E112" s="1" t="s">
        <v>1674</v>
      </c>
      <c r="G112" t="s">
        <v>1668</v>
      </c>
    </row>
    <row r="113" spans="1:7" ht="12.75">
      <c r="A113" s="1"/>
      <c r="E113" s="1" t="s">
        <v>1676</v>
      </c>
      <c r="G113" t="s">
        <v>1669</v>
      </c>
    </row>
    <row r="114" spans="1:7" ht="12.75">
      <c r="A114" s="1"/>
      <c r="E114" s="1" t="s">
        <v>1677</v>
      </c>
      <c r="G114" t="s">
        <v>1694</v>
      </c>
    </row>
    <row r="115" spans="5:7" ht="12.75">
      <c r="E115" s="1" t="s">
        <v>1680</v>
      </c>
      <c r="G115" t="s">
        <v>1697</v>
      </c>
    </row>
    <row r="116" spans="5:7" ht="12.75">
      <c r="E116" s="1" t="s">
        <v>1678</v>
      </c>
      <c r="G116" t="s">
        <v>1695</v>
      </c>
    </row>
    <row r="117" spans="5:7" ht="12.75">
      <c r="E117" s="1" t="s">
        <v>1679</v>
      </c>
      <c r="G117" t="s">
        <v>1696</v>
      </c>
    </row>
    <row r="118" spans="5:7" ht="12.75">
      <c r="E118" s="1" t="s">
        <v>1681</v>
      </c>
      <c r="G118" t="s">
        <v>1704</v>
      </c>
    </row>
    <row r="119" spans="5:7" ht="12.75">
      <c r="E119" s="1" t="s">
        <v>1709</v>
      </c>
      <c r="G119" t="s">
        <v>1706</v>
      </c>
    </row>
    <row r="120" spans="5:7" ht="12.75">
      <c r="E120" s="1" t="s">
        <v>968</v>
      </c>
      <c r="G120" t="s">
        <v>1718</v>
      </c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7.421875" style="0" customWidth="1"/>
    <col min="10" max="10" width="7.57421875" style="0" customWidth="1"/>
    <col min="11" max="11" width="21.7109375" style="0" customWidth="1"/>
    <col min="12" max="12" width="6.28125" style="0" customWidth="1"/>
    <col min="13" max="13" width="7.57421875" style="0" customWidth="1"/>
    <col min="14" max="14" width="3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7109375" style="0" customWidth="1"/>
    <col min="90" max="90" width="136.00390625" style="0" customWidth="1"/>
    <col min="91" max="91" width="13.421875" style="0" customWidth="1"/>
  </cols>
  <sheetData>
    <row r="1" spans="1:88" ht="12.75">
      <c r="A1" s="14"/>
      <c r="B1" s="18" t="s">
        <v>1652</v>
      </c>
      <c r="C1" s="4"/>
      <c r="D1" s="3"/>
      <c r="E1" s="4" t="s">
        <v>547</v>
      </c>
      <c r="F1" s="25"/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1581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391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26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1453</v>
      </c>
      <c r="B9" s="14" t="s">
        <v>1117</v>
      </c>
      <c r="C9" s="14" t="s">
        <v>644</v>
      </c>
      <c r="D9" s="14" t="s">
        <v>14</v>
      </c>
      <c r="E9" s="14" t="s">
        <v>10</v>
      </c>
      <c r="F9" s="2" t="s">
        <v>97</v>
      </c>
      <c r="G9" s="2">
        <v>1</v>
      </c>
      <c r="H9" s="2" t="s">
        <v>1652</v>
      </c>
      <c r="I9" s="2" t="s">
        <v>860</v>
      </c>
      <c r="J9" s="14" t="s">
        <v>415</v>
      </c>
      <c r="K9" s="2" t="s">
        <v>1656</v>
      </c>
      <c r="L9" s="14" t="s">
        <v>1648</v>
      </c>
      <c r="M9" s="14" t="s">
        <v>897</v>
      </c>
      <c r="N9" s="2" t="s">
        <v>1345</v>
      </c>
      <c r="O9" s="10">
        <v>4</v>
      </c>
      <c r="P9" s="10"/>
      <c r="Q9" s="10"/>
      <c r="R9" s="9"/>
      <c r="S9" s="9"/>
      <c r="T9" s="9"/>
      <c r="U9" s="44">
        <v>151.2</v>
      </c>
      <c r="V9" s="44">
        <v>37.8</v>
      </c>
      <c r="W9" s="22"/>
      <c r="X9" s="22">
        <v>3.15</v>
      </c>
      <c r="AB9" s="44"/>
      <c r="AF9" s="22">
        <v>12.6</v>
      </c>
      <c r="AG9">
        <v>3</v>
      </c>
      <c r="AH9">
        <v>3</v>
      </c>
      <c r="AI9">
        <v>0</v>
      </c>
      <c r="AJ9" s="22">
        <v>3.15</v>
      </c>
      <c r="AW9" s="7"/>
      <c r="BD9" s="7"/>
      <c r="BE9" s="22">
        <v>3.15</v>
      </c>
      <c r="BF9" s="19"/>
      <c r="BG9" s="22">
        <v>3.15</v>
      </c>
      <c r="BP9" s="33"/>
      <c r="BS9" s="20"/>
      <c r="BW9" s="44">
        <v>151.2</v>
      </c>
      <c r="BX9" s="44">
        <v>37.8</v>
      </c>
      <c r="CJ9">
        <v>1453</v>
      </c>
      <c r="CK9" s="2" t="s">
        <v>1656</v>
      </c>
    </row>
    <row r="11" spans="1:89" ht="12.75">
      <c r="A11" s="18">
        <v>1455</v>
      </c>
      <c r="B11" s="14" t="s">
        <v>1117</v>
      </c>
      <c r="C11" s="14" t="s">
        <v>644</v>
      </c>
      <c r="D11" s="14" t="s">
        <v>222</v>
      </c>
      <c r="E11" s="14" t="s">
        <v>42</v>
      </c>
      <c r="F11" s="32" t="s">
        <v>126</v>
      </c>
      <c r="G11" s="2"/>
      <c r="H11" s="2" t="s">
        <v>1652</v>
      </c>
      <c r="I11" s="2" t="s">
        <v>1009</v>
      </c>
      <c r="J11" s="14" t="s">
        <v>415</v>
      </c>
      <c r="K11" s="2" t="s">
        <v>1657</v>
      </c>
      <c r="L11" s="14" t="s">
        <v>1648</v>
      </c>
      <c r="M11" s="14" t="s">
        <v>897</v>
      </c>
      <c r="N11" s="2" t="s">
        <v>1341</v>
      </c>
      <c r="O11" s="10">
        <v>4</v>
      </c>
      <c r="P11" s="10"/>
      <c r="Q11" s="10"/>
      <c r="R11" s="9"/>
      <c r="S11" s="9"/>
      <c r="T11" s="9"/>
      <c r="U11" s="44">
        <v>163.2</v>
      </c>
      <c r="V11" s="44">
        <v>40.8</v>
      </c>
      <c r="W11" s="22"/>
      <c r="X11" s="22">
        <v>3.4</v>
      </c>
      <c r="AB11" s="44"/>
      <c r="AF11" s="22">
        <v>13.6</v>
      </c>
      <c r="AG11">
        <v>3</v>
      </c>
      <c r="AH11">
        <v>8</v>
      </c>
      <c r="AI11">
        <v>0</v>
      </c>
      <c r="AJ11" s="22">
        <v>3.4</v>
      </c>
      <c r="AK11" s="22"/>
      <c r="BG11" s="22">
        <v>3.4</v>
      </c>
      <c r="BP11" s="33"/>
      <c r="BS11" s="20"/>
      <c r="BW11" s="44">
        <v>163.2</v>
      </c>
      <c r="BX11" s="44">
        <v>40.8</v>
      </c>
      <c r="CJ11">
        <v>1455</v>
      </c>
      <c r="CK11" s="2" t="s">
        <v>1657</v>
      </c>
    </row>
    <row r="13" spans="1:89" ht="12.75">
      <c r="A13" s="18">
        <v>1460</v>
      </c>
      <c r="B13" s="14" t="s">
        <v>1117</v>
      </c>
      <c r="C13" s="14" t="s">
        <v>644</v>
      </c>
      <c r="D13" s="14" t="s">
        <v>227</v>
      </c>
      <c r="E13" s="14" t="s">
        <v>30</v>
      </c>
      <c r="F13" s="32" t="s">
        <v>184</v>
      </c>
      <c r="G13" s="2">
        <v>1</v>
      </c>
      <c r="H13" s="2" t="s">
        <v>1652</v>
      </c>
      <c r="I13" s="2" t="s">
        <v>493</v>
      </c>
      <c r="J13" s="14" t="s">
        <v>415</v>
      </c>
      <c r="K13" s="2" t="s">
        <v>1654</v>
      </c>
      <c r="L13" s="14" t="s">
        <v>1648</v>
      </c>
      <c r="M13" s="14" t="s">
        <v>416</v>
      </c>
      <c r="N13" s="2" t="s">
        <v>1340</v>
      </c>
      <c r="O13" s="10">
        <v>2</v>
      </c>
      <c r="P13" s="10"/>
      <c r="Q13" s="10"/>
      <c r="R13" s="9"/>
      <c r="S13" s="9"/>
      <c r="T13" s="9"/>
      <c r="U13" s="44">
        <v>69.6</v>
      </c>
      <c r="V13" s="44">
        <v>34.8</v>
      </c>
      <c r="X13" s="22">
        <v>2.9</v>
      </c>
      <c r="AB13" s="44"/>
      <c r="AF13" s="22">
        <v>5.8</v>
      </c>
      <c r="AG13">
        <v>2</v>
      </c>
      <c r="AH13">
        <v>18</v>
      </c>
      <c r="AI13">
        <v>0</v>
      </c>
      <c r="AJ13" s="22">
        <v>2.9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BG13" s="22">
        <v>2.9</v>
      </c>
      <c r="BP13" s="33"/>
      <c r="BS13" s="20"/>
      <c r="BW13" s="44">
        <v>69.6</v>
      </c>
      <c r="BX13" s="44">
        <v>34.8</v>
      </c>
      <c r="CJ13">
        <v>1460</v>
      </c>
      <c r="CK13" s="2" t="s">
        <v>1654</v>
      </c>
    </row>
    <row r="15" spans="1:90" ht="12.75">
      <c r="A15" s="18">
        <v>1461</v>
      </c>
      <c r="B15" s="14" t="s">
        <v>1117</v>
      </c>
      <c r="C15" s="14" t="s">
        <v>644</v>
      </c>
      <c r="D15" s="14" t="s">
        <v>228</v>
      </c>
      <c r="E15" s="14" t="s">
        <v>37</v>
      </c>
      <c r="F15" s="32" t="s">
        <v>200</v>
      </c>
      <c r="G15" s="2">
        <v>1</v>
      </c>
      <c r="H15" s="2" t="s">
        <v>1652</v>
      </c>
      <c r="I15" s="2" t="s">
        <v>1651</v>
      </c>
      <c r="J15" s="14" t="s">
        <v>415</v>
      </c>
      <c r="K15" s="2" t="s">
        <v>1655</v>
      </c>
      <c r="L15" s="14" t="s">
        <v>1648</v>
      </c>
      <c r="M15" s="14" t="s">
        <v>5</v>
      </c>
      <c r="N15" s="2" t="s">
        <v>1343</v>
      </c>
      <c r="O15" s="10">
        <v>6</v>
      </c>
      <c r="P15" s="10"/>
      <c r="Q15" s="10"/>
      <c r="R15" s="9"/>
      <c r="S15" s="9"/>
      <c r="T15" s="9"/>
      <c r="U15" s="44">
        <v>234</v>
      </c>
      <c r="V15" s="44">
        <v>39</v>
      </c>
      <c r="X15" s="22">
        <v>3.25</v>
      </c>
      <c r="AB15" s="44"/>
      <c r="AC15">
        <v>19</v>
      </c>
      <c r="AD15">
        <v>10</v>
      </c>
      <c r="AE15">
        <v>0</v>
      </c>
      <c r="AF15" s="22">
        <v>19.5</v>
      </c>
      <c r="AG15">
        <v>3</v>
      </c>
      <c r="AH15">
        <v>5</v>
      </c>
      <c r="AI15">
        <v>0</v>
      </c>
      <c r="AJ15" s="22">
        <v>3.25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W15" s="7"/>
      <c r="BC15" s="7"/>
      <c r="BD15" s="7"/>
      <c r="BE15" s="19"/>
      <c r="BF15" s="19"/>
      <c r="BG15" s="22">
        <v>3.25</v>
      </c>
      <c r="BP15" s="33"/>
      <c r="BS15" s="20"/>
      <c r="BW15" s="44">
        <v>234</v>
      </c>
      <c r="BX15" s="44">
        <v>39</v>
      </c>
      <c r="CJ15">
        <v>1461</v>
      </c>
      <c r="CK15" s="2" t="s">
        <v>1655</v>
      </c>
      <c r="CL15" t="s">
        <v>52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4"/>
      <c r="V1" s="44"/>
      <c r="W1" s="22"/>
      <c r="X1" s="22"/>
      <c r="AB1" s="44"/>
      <c r="AF1" s="22"/>
      <c r="AJ1" s="6"/>
      <c r="AP1" s="33"/>
      <c r="AQ1" s="19"/>
      <c r="AR1" s="19"/>
      <c r="AS1" s="19"/>
      <c r="AT1" s="19"/>
      <c r="BG1" s="6"/>
      <c r="BP1" s="44"/>
      <c r="BQ1" s="35"/>
      <c r="BR1" s="35"/>
      <c r="BS1" s="20"/>
      <c r="BT1" s="33"/>
      <c r="BU1" s="33"/>
      <c r="BV1" s="35"/>
      <c r="BW1" s="44"/>
      <c r="BX1" s="44"/>
      <c r="CB1" s="22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4"/>
      <c r="V1" s="44"/>
      <c r="X1" s="22"/>
      <c r="AB1" s="44"/>
      <c r="AJ1" s="7"/>
      <c r="AW1" s="7"/>
      <c r="BD1" s="7"/>
      <c r="BE1" s="19"/>
      <c r="BF1" s="19"/>
      <c r="BW1" s="44"/>
      <c r="BX1" s="44"/>
      <c r="CJ1" s="14"/>
      <c r="CK1" s="2"/>
    </row>
    <row r="2" spans="1:89" ht="12.75">
      <c r="A2" s="15"/>
      <c r="B2" s="14"/>
      <c r="C2" s="14"/>
      <c r="D2" s="14"/>
      <c r="E2" s="14"/>
      <c r="F2" s="2"/>
      <c r="G2" s="2"/>
      <c r="H2" s="2"/>
      <c r="I2" s="2"/>
      <c r="J2" s="14"/>
      <c r="K2" s="2"/>
      <c r="L2" s="14"/>
      <c r="M2" s="14"/>
      <c r="N2" s="2"/>
      <c r="O2" s="10"/>
      <c r="P2" s="10"/>
      <c r="Q2" s="10"/>
      <c r="R2" s="9"/>
      <c r="S2" s="9"/>
      <c r="T2" s="9"/>
      <c r="U2" s="44"/>
      <c r="V2" s="44"/>
      <c r="X2" s="22"/>
      <c r="AB2" s="44"/>
      <c r="AJ2" s="7"/>
      <c r="AW2" s="7"/>
      <c r="BD2" s="7"/>
      <c r="BE2" s="19"/>
      <c r="BF2" s="19"/>
      <c r="BW2" s="44"/>
      <c r="BX2" s="44"/>
      <c r="CJ2" s="14"/>
      <c r="CK2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4"/>
      <c r="V3" s="44"/>
      <c r="X3" s="22"/>
      <c r="AB3" s="44"/>
      <c r="AJ3" s="7"/>
      <c r="AW3" s="7"/>
      <c r="BD3" s="7"/>
      <c r="BE3" s="19"/>
      <c r="BF3" s="19"/>
      <c r="BW3" s="44"/>
      <c r="BX3" s="44"/>
      <c r="CJ3" s="14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4"/>
      <c r="V5" s="44"/>
      <c r="W5" s="44"/>
      <c r="X5" s="22"/>
      <c r="AB5" s="44"/>
      <c r="AJ5" s="7"/>
      <c r="AK5" s="22"/>
      <c r="BD5" s="7"/>
      <c r="BE5" s="19"/>
      <c r="BF5" s="19"/>
      <c r="BS5" s="20"/>
      <c r="BW5" s="44"/>
      <c r="BX5" s="44"/>
      <c r="CJ5" s="16"/>
      <c r="CK5" s="2"/>
    </row>
    <row r="6" spans="1:89" ht="12.75">
      <c r="A6" s="15"/>
      <c r="B6" s="14"/>
      <c r="C6" s="14"/>
      <c r="D6" s="14"/>
      <c r="E6" s="14"/>
      <c r="F6" s="2"/>
      <c r="G6" s="2"/>
      <c r="H6" s="2"/>
      <c r="I6" s="2"/>
      <c r="J6" s="14"/>
      <c r="K6" s="2"/>
      <c r="L6" s="14"/>
      <c r="M6" s="14"/>
      <c r="N6" s="2"/>
      <c r="O6" s="10"/>
      <c r="P6" s="10"/>
      <c r="Q6" s="10"/>
      <c r="R6" s="9"/>
      <c r="S6" s="9"/>
      <c r="T6" s="9"/>
      <c r="U6" s="44"/>
      <c r="V6" s="44"/>
      <c r="W6" s="44"/>
      <c r="X6" s="22"/>
      <c r="AB6" s="44"/>
      <c r="AJ6" s="7"/>
      <c r="AK6" s="22"/>
      <c r="BD6" s="7"/>
      <c r="BE6" s="19"/>
      <c r="BF6" s="19"/>
      <c r="BS6" s="20"/>
      <c r="BW6" s="44"/>
      <c r="BX6" s="44"/>
      <c r="CJ6" s="16"/>
      <c r="CK6" s="2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4"/>
      <c r="V8" s="44"/>
      <c r="X8" s="22"/>
      <c r="AB8" s="44"/>
      <c r="AJ8" s="7"/>
      <c r="BD8" s="7"/>
      <c r="BE8" s="19"/>
      <c r="BF8" s="19"/>
      <c r="BS8" s="20"/>
      <c r="BW8" s="44"/>
      <c r="BX8" s="44"/>
      <c r="CJ8" s="16"/>
      <c r="CK8" s="2"/>
    </row>
    <row r="9" spans="1:89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9"/>
      <c r="S9" s="9"/>
      <c r="T9" s="9"/>
      <c r="U9" s="44"/>
      <c r="V9" s="44"/>
      <c r="X9" s="22"/>
      <c r="AB9" s="44"/>
      <c r="AJ9" s="7"/>
      <c r="BD9" s="7"/>
      <c r="BE9" s="19"/>
      <c r="BF9" s="19"/>
      <c r="BS9" s="20"/>
      <c r="BW9" s="44"/>
      <c r="BX9" s="44"/>
      <c r="CJ9" s="16"/>
      <c r="CK9" s="2"/>
    </row>
    <row r="10" spans="1:89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9"/>
      <c r="S10" s="9"/>
      <c r="T10" s="9"/>
      <c r="U10" s="44"/>
      <c r="V10" s="44"/>
      <c r="X10" s="22"/>
      <c r="AB10" s="44"/>
      <c r="AJ10" s="7"/>
      <c r="BD10" s="7"/>
      <c r="BE10" s="19"/>
      <c r="BF10" s="19"/>
      <c r="BS10" s="20"/>
      <c r="BW10" s="44"/>
      <c r="BX10" s="44"/>
      <c r="CJ10" s="16"/>
      <c r="CK10" s="2"/>
    </row>
    <row r="11" spans="1:89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9"/>
      <c r="S11" s="9"/>
      <c r="T11" s="9"/>
      <c r="U11" s="44"/>
      <c r="V11" s="44"/>
      <c r="X11" s="22"/>
      <c r="AB11" s="44"/>
      <c r="AJ11" s="7"/>
      <c r="BD11" s="7"/>
      <c r="BE11" s="19"/>
      <c r="BF11" s="19"/>
      <c r="BS11" s="20"/>
      <c r="BW11" s="44"/>
      <c r="BX11" s="44"/>
      <c r="CJ11" s="16"/>
      <c r="CK11" s="2"/>
    </row>
    <row r="12" spans="1:89" ht="12.75">
      <c r="A12" s="15"/>
      <c r="B12" s="14"/>
      <c r="C12" s="14"/>
      <c r="D12" s="14"/>
      <c r="E12" s="14"/>
      <c r="F12" s="2"/>
      <c r="G12" s="2"/>
      <c r="H12" s="2"/>
      <c r="I12" s="2"/>
      <c r="J12" s="14"/>
      <c r="K12" s="2"/>
      <c r="L12" s="14"/>
      <c r="M12" s="14"/>
      <c r="N12" s="2"/>
      <c r="O12" s="10"/>
      <c r="P12" s="10"/>
      <c r="Q12" s="10"/>
      <c r="R12" s="9"/>
      <c r="S12" s="9"/>
      <c r="T12" s="9"/>
      <c r="U12" s="44"/>
      <c r="V12" s="44"/>
      <c r="X12" s="22"/>
      <c r="AB12" s="44"/>
      <c r="AJ12" s="7"/>
      <c r="BD12" s="7"/>
      <c r="BE12" s="19"/>
      <c r="BF12" s="19"/>
      <c r="BS12" s="20"/>
      <c r="BW12" s="44"/>
      <c r="BX12" s="44"/>
      <c r="CJ12" s="16"/>
      <c r="CK12" s="2"/>
    </row>
    <row r="13" spans="1:89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9"/>
      <c r="S13" s="9"/>
      <c r="T13" s="9"/>
      <c r="U13" s="44"/>
      <c r="V13" s="44"/>
      <c r="X13" s="22"/>
      <c r="AB13" s="44"/>
      <c r="AJ13" s="7"/>
      <c r="BD13" s="7"/>
      <c r="BE13" s="19"/>
      <c r="BF13" s="19"/>
      <c r="BL13" s="44"/>
      <c r="BQ13" s="37"/>
      <c r="BR13" s="37"/>
      <c r="BS13" s="20"/>
      <c r="BW13" s="44"/>
      <c r="BX13" s="44"/>
      <c r="CJ13" s="16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4"/>
      <c r="V1" s="44"/>
      <c r="W1" s="22"/>
      <c r="X1" s="22"/>
      <c r="AB1" s="44"/>
      <c r="AJ1" s="7"/>
      <c r="BC1" s="7"/>
      <c r="BW1" s="44"/>
      <c r="BX1" s="44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8.710937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24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5.8515625" style="0" customWidth="1"/>
    <col min="91" max="91" width="13.421875" style="0" customWidth="1"/>
  </cols>
  <sheetData>
    <row r="1" spans="1:88" ht="12.75">
      <c r="A1" s="14"/>
      <c r="B1" s="18" t="s">
        <v>1098</v>
      </c>
      <c r="C1" s="4"/>
      <c r="D1" s="3"/>
      <c r="E1" s="17"/>
      <c r="F1" s="4" t="s">
        <v>547</v>
      </c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1456</v>
      </c>
      <c r="B9" s="14" t="s">
        <v>1117</v>
      </c>
      <c r="C9" s="14" t="s">
        <v>644</v>
      </c>
      <c r="D9" s="14" t="s">
        <v>223</v>
      </c>
      <c r="E9" s="14" t="s">
        <v>39</v>
      </c>
      <c r="F9" s="32" t="s">
        <v>139</v>
      </c>
      <c r="G9" s="2">
        <v>2</v>
      </c>
      <c r="H9" t="s">
        <v>1098</v>
      </c>
      <c r="I9" t="s">
        <v>1387</v>
      </c>
      <c r="J9" s="14" t="s">
        <v>415</v>
      </c>
      <c r="K9" s="2" t="s">
        <v>1099</v>
      </c>
      <c r="L9" s="14" t="s">
        <v>1107</v>
      </c>
      <c r="M9" s="14" t="s">
        <v>5</v>
      </c>
      <c r="N9" s="2" t="s">
        <v>1341</v>
      </c>
      <c r="O9" s="10">
        <v>3</v>
      </c>
      <c r="P9" s="10"/>
      <c r="Q9" s="10"/>
      <c r="R9" s="9"/>
      <c r="S9" s="9"/>
      <c r="T9" s="9"/>
      <c r="U9" s="44">
        <v>127.1</v>
      </c>
      <c r="V9" s="44">
        <v>42.36666666666667</v>
      </c>
      <c r="W9" s="22"/>
      <c r="X9" s="22">
        <v>3.5305555555555554</v>
      </c>
      <c r="AB9" s="44"/>
      <c r="AC9">
        <v>10</v>
      </c>
      <c r="AD9">
        <v>11</v>
      </c>
      <c r="AE9">
        <v>10</v>
      </c>
      <c r="AF9" s="22">
        <v>10.591666666666667</v>
      </c>
      <c r="AJ9" s="22">
        <v>3.5305555555555554</v>
      </c>
      <c r="AK9" s="22"/>
      <c r="BG9" s="22">
        <v>3.5305555555555554</v>
      </c>
      <c r="BP9" s="33"/>
      <c r="BS9" s="20"/>
      <c r="BW9" s="44">
        <v>127.1</v>
      </c>
      <c r="BX9" s="44">
        <v>42.36666666666667</v>
      </c>
      <c r="CJ9">
        <v>1456</v>
      </c>
      <c r="CK9" s="2" t="s">
        <v>1099</v>
      </c>
      <c r="CL9" t="s">
        <v>17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CK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4"/>
      <c r="V1" s="44"/>
      <c r="X1" s="22"/>
      <c r="AF1" s="22"/>
      <c r="AJ1" s="6"/>
      <c r="AK1" s="22"/>
      <c r="BB1" s="7"/>
      <c r="BG1" s="6"/>
      <c r="BP1" s="44"/>
      <c r="BQ1" s="35"/>
      <c r="BR1" s="35"/>
      <c r="BS1" s="20"/>
      <c r="BT1" s="33"/>
      <c r="BU1" s="33"/>
      <c r="BV1" s="35"/>
      <c r="BW1" s="44"/>
      <c r="BX1" s="44"/>
      <c r="CK1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4"/>
      <c r="V3" s="44"/>
      <c r="X3" s="22"/>
      <c r="AF3" s="22"/>
      <c r="AJ3" s="6"/>
      <c r="BG3" s="6"/>
      <c r="BP3" s="44"/>
      <c r="BQ3" s="35"/>
      <c r="BR3" s="35"/>
      <c r="BS3" s="20"/>
      <c r="BT3" s="33"/>
      <c r="BU3" s="33"/>
      <c r="BV3" s="35"/>
      <c r="BW3" s="44"/>
      <c r="BX3" s="44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4"/>
      <c r="V5" s="44"/>
      <c r="W5" s="22"/>
      <c r="X5" s="22"/>
      <c r="AB5" s="44"/>
      <c r="AF5" s="22"/>
      <c r="AJ5" s="6"/>
      <c r="AK5" s="22"/>
      <c r="BG5" s="6"/>
      <c r="BP5" s="44"/>
      <c r="BQ5" s="35"/>
      <c r="BR5" s="35"/>
      <c r="BS5" s="20"/>
      <c r="BT5" s="33"/>
      <c r="BU5" s="33"/>
      <c r="BV5" s="35"/>
      <c r="BW5" s="44"/>
      <c r="BX5" s="44"/>
      <c r="CK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BX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76" ht="12.75">
      <c r="A1" s="15"/>
      <c r="B1" s="14"/>
      <c r="C1" s="14"/>
      <c r="D1" s="14"/>
      <c r="E1" s="14"/>
      <c r="F1" s="2"/>
      <c r="G1" s="2"/>
      <c r="H1" s="2"/>
      <c r="I1" s="23"/>
      <c r="J1" s="14"/>
      <c r="L1" s="14"/>
      <c r="M1" s="14"/>
      <c r="N1" s="2"/>
      <c r="O1" s="10"/>
      <c r="P1" s="10"/>
      <c r="Q1" s="10"/>
      <c r="R1" s="25"/>
      <c r="S1" s="9"/>
      <c r="T1" s="9"/>
      <c r="U1" s="44"/>
      <c r="V1" s="44"/>
      <c r="X1" s="22"/>
      <c r="Y1" s="13"/>
      <c r="Z1" s="13"/>
      <c r="AA1" s="13"/>
      <c r="AC1" s="13"/>
      <c r="AD1" s="13"/>
      <c r="AE1" s="13"/>
      <c r="AF1" s="22"/>
      <c r="AJ1" s="22"/>
      <c r="AM1" s="19"/>
      <c r="AN1" s="19"/>
      <c r="AO1" s="19"/>
      <c r="AY1" s="6"/>
      <c r="BD1" s="22"/>
      <c r="BL1" s="33"/>
      <c r="BM1" s="33"/>
      <c r="BN1" s="33"/>
      <c r="BP1" s="22"/>
      <c r="BQ1" s="35"/>
      <c r="BR1" s="35"/>
      <c r="BS1" s="20"/>
      <c r="BT1" s="33"/>
      <c r="BV1" s="35"/>
      <c r="BW1" s="44"/>
      <c r="BX1" s="44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602</v>
      </c>
    </row>
    <row r="3" spans="1:2" ht="12.75">
      <c r="A3" s="1" t="s">
        <v>1249</v>
      </c>
      <c r="B3" s="1" t="s">
        <v>796</v>
      </c>
    </row>
    <row r="5" spans="1:2" ht="12.75">
      <c r="A5" t="s">
        <v>386</v>
      </c>
      <c r="B5" t="s">
        <v>1557</v>
      </c>
    </row>
    <row r="6" spans="1:2" ht="12.75">
      <c r="A6" t="s">
        <v>462</v>
      </c>
      <c r="B6" t="s">
        <v>454</v>
      </c>
    </row>
    <row r="7" spans="1:2" ht="12.75">
      <c r="A7" t="s">
        <v>617</v>
      </c>
      <c r="B7" t="s">
        <v>625</v>
      </c>
    </row>
    <row r="8" spans="1:2" ht="12.75">
      <c r="A8" t="s">
        <v>505</v>
      </c>
      <c r="B8" t="s">
        <v>1047</v>
      </c>
    </row>
    <row r="9" spans="1:2" ht="12.75">
      <c r="A9" t="s">
        <v>634</v>
      </c>
      <c r="B9" t="s">
        <v>94</v>
      </c>
    </row>
    <row r="10" spans="1:2" ht="12.75">
      <c r="A10" t="s">
        <v>638</v>
      </c>
      <c r="B10" t="s">
        <v>1104</v>
      </c>
    </row>
    <row r="11" spans="1:2" ht="12.75">
      <c r="A11" t="s">
        <v>653</v>
      </c>
      <c r="B11" t="s">
        <v>1062</v>
      </c>
    </row>
    <row r="12" spans="1:2" ht="12.75">
      <c r="A12" t="s">
        <v>679</v>
      </c>
      <c r="B12" t="s">
        <v>1140</v>
      </c>
    </row>
    <row r="13" spans="1:2" ht="12.75">
      <c r="A13" t="s">
        <v>680</v>
      </c>
      <c r="B13" t="s">
        <v>5</v>
      </c>
    </row>
    <row r="14" spans="1:2" ht="12.75">
      <c r="A14" t="s">
        <v>706</v>
      </c>
      <c r="B14" t="s">
        <v>404</v>
      </c>
    </row>
    <row r="15" spans="1:2" ht="12.75">
      <c r="A15" t="s">
        <v>708</v>
      </c>
      <c r="B15" t="s">
        <v>1020</v>
      </c>
    </row>
    <row r="16" spans="1:2" ht="12.75">
      <c r="A16" t="s">
        <v>740</v>
      </c>
      <c r="B16" t="s">
        <v>1527</v>
      </c>
    </row>
    <row r="17" spans="1:2" ht="12.75">
      <c r="A17" t="s">
        <v>918</v>
      </c>
      <c r="B17" t="s">
        <v>1471</v>
      </c>
    </row>
    <row r="18" spans="1:2" ht="12.75">
      <c r="A18" t="s">
        <v>935</v>
      </c>
      <c r="B18" t="s">
        <v>1558</v>
      </c>
    </row>
    <row r="19" spans="1:2" ht="12.75">
      <c r="A19" t="s">
        <v>972</v>
      </c>
      <c r="B19" t="s">
        <v>1700</v>
      </c>
    </row>
    <row r="20" spans="1:2" ht="12.75">
      <c r="A20" t="s">
        <v>1024</v>
      </c>
      <c r="B20" t="s">
        <v>1018</v>
      </c>
    </row>
    <row r="21" spans="1:2" ht="12.75">
      <c r="A21" t="s">
        <v>1044</v>
      </c>
      <c r="B21" t="s">
        <v>640</v>
      </c>
    </row>
    <row r="22" spans="1:2" ht="12.75">
      <c r="A22" t="s">
        <v>1046</v>
      </c>
      <c r="B22" t="s">
        <v>639</v>
      </c>
    </row>
    <row r="23" spans="1:2" ht="12.75">
      <c r="A23" t="s">
        <v>1060</v>
      </c>
      <c r="B23" t="s">
        <v>1058</v>
      </c>
    </row>
    <row r="24" spans="1:2" ht="12.75">
      <c r="A24" t="s">
        <v>1063</v>
      </c>
      <c r="B24" t="s">
        <v>414</v>
      </c>
    </row>
    <row r="25" spans="1:2" ht="12.75">
      <c r="A25" t="s">
        <v>1080</v>
      </c>
      <c r="B25" t="s">
        <v>1288</v>
      </c>
    </row>
    <row r="26" spans="1:2" ht="12.75">
      <c r="A26" t="s">
        <v>1113</v>
      </c>
      <c r="B26" t="s">
        <v>1074</v>
      </c>
    </row>
    <row r="27" spans="1:2" ht="12.75">
      <c r="A27" t="s">
        <v>1122</v>
      </c>
      <c r="B27" t="s">
        <v>726</v>
      </c>
    </row>
    <row r="28" spans="1:2" ht="12.75">
      <c r="A28" t="s">
        <v>1151</v>
      </c>
      <c r="B28" t="s">
        <v>1152</v>
      </c>
    </row>
    <row r="29" spans="1:2" ht="12.75">
      <c r="A29" t="s">
        <v>1283</v>
      </c>
      <c r="B29" t="s">
        <v>1287</v>
      </c>
    </row>
    <row r="30" spans="1:2" ht="12.75">
      <c r="A30" t="s">
        <v>1339</v>
      </c>
      <c r="B30" t="s">
        <v>1586</v>
      </c>
    </row>
    <row r="31" spans="1:2" ht="12.75">
      <c r="A31" t="s">
        <v>1365</v>
      </c>
      <c r="B31" t="s">
        <v>1364</v>
      </c>
    </row>
    <row r="32" spans="1:2" ht="12.75">
      <c r="A32" t="s">
        <v>1384</v>
      </c>
      <c r="B32" t="s">
        <v>1064</v>
      </c>
    </row>
    <row r="33" spans="1:2" ht="12.75">
      <c r="A33" t="s">
        <v>1366</v>
      </c>
      <c r="B33" t="s">
        <v>1057</v>
      </c>
    </row>
    <row r="34" spans="1:2" ht="12.75">
      <c r="A34" t="s">
        <v>1390</v>
      </c>
      <c r="B34" t="s">
        <v>1588</v>
      </c>
    </row>
    <row r="35" spans="1:2" ht="12.75">
      <c r="A35" t="s">
        <v>1452</v>
      </c>
      <c r="B35" t="s">
        <v>1324</v>
      </c>
    </row>
    <row r="36" spans="1:2" ht="12.75">
      <c r="A36" t="s">
        <v>1455</v>
      </c>
      <c r="B36" t="s">
        <v>1114</v>
      </c>
    </row>
    <row r="37" spans="1:2" ht="12.75">
      <c r="A37" t="s">
        <v>1459</v>
      </c>
      <c r="B37" t="s">
        <v>1473</v>
      </c>
    </row>
    <row r="38" spans="1:2" ht="12.75">
      <c r="A38" t="s">
        <v>1462</v>
      </c>
      <c r="B38" t="s">
        <v>1506</v>
      </c>
    </row>
    <row r="39" spans="1:2" ht="12.75">
      <c r="A39" t="s">
        <v>1470</v>
      </c>
      <c r="B39" t="s">
        <v>1469</v>
      </c>
    </row>
    <row r="40" spans="1:2" ht="12.75">
      <c r="A40" t="s">
        <v>1512</v>
      </c>
      <c r="B40" t="s">
        <v>649</v>
      </c>
    </row>
    <row r="41" spans="1:2" ht="12.75">
      <c r="A41" t="s">
        <v>1514</v>
      </c>
      <c r="B41" t="s">
        <v>1346</v>
      </c>
    </row>
    <row r="42" spans="1:2" ht="12.75">
      <c r="A42" t="s">
        <v>1533</v>
      </c>
      <c r="B42" t="s">
        <v>1531</v>
      </c>
    </row>
    <row r="43" spans="1:2" ht="12.75">
      <c r="A43" t="s">
        <v>1536</v>
      </c>
      <c r="B43" t="s">
        <v>1543</v>
      </c>
    </row>
    <row r="44" spans="1:2" ht="12.75">
      <c r="A44" t="s">
        <v>1592</v>
      </c>
      <c r="B44" t="s">
        <v>1587</v>
      </c>
    </row>
    <row r="45" spans="1:2" ht="12.75">
      <c r="A45" t="s">
        <v>1622</v>
      </c>
      <c r="B45" t="s">
        <v>1056</v>
      </c>
    </row>
    <row r="46" spans="1:2" ht="12.75">
      <c r="A46" t="s">
        <v>1634</v>
      </c>
      <c r="B46" t="s">
        <v>894</v>
      </c>
    </row>
    <row r="47" spans="1:2" ht="12.75">
      <c r="A47" t="s">
        <v>1641</v>
      </c>
      <c r="B47" t="s">
        <v>1643</v>
      </c>
    </row>
    <row r="48" spans="1:2" ht="12.75">
      <c r="A48" t="s">
        <v>1649</v>
      </c>
      <c r="B48" t="s">
        <v>1701</v>
      </c>
    </row>
    <row r="49" spans="1:2" ht="12.75">
      <c r="A49" t="s">
        <v>1638</v>
      </c>
      <c r="B49" t="s">
        <v>1645</v>
      </c>
    </row>
    <row r="50" spans="1:2" ht="12.75">
      <c r="A50" t="s">
        <v>1659</v>
      </c>
      <c r="B50" t="s">
        <v>1556</v>
      </c>
    </row>
    <row r="51" spans="1:2" ht="12.75">
      <c r="A51" t="s">
        <v>1663</v>
      </c>
      <c r="B51" t="s">
        <v>637</v>
      </c>
    </row>
    <row r="52" spans="1:2" ht="12.75">
      <c r="A52" t="s">
        <v>1667</v>
      </c>
      <c r="B52" t="s">
        <v>1646</v>
      </c>
    </row>
    <row r="54" ht="12.75">
      <c r="A54" s="1" t="s">
        <v>1319</v>
      </c>
    </row>
    <row r="56" spans="1:2" ht="12.75">
      <c r="A56" t="s">
        <v>469</v>
      </c>
      <c r="B56" t="s">
        <v>467</v>
      </c>
    </row>
    <row r="57" spans="1:2" ht="12.75">
      <c r="A57" t="s">
        <v>605</v>
      </c>
      <c r="B57" t="s">
        <v>604</v>
      </c>
    </row>
    <row r="58" spans="1:2" ht="12.75">
      <c r="A58" t="s">
        <v>536</v>
      </c>
      <c r="B58" t="s">
        <v>612</v>
      </c>
    </row>
    <row r="59" spans="1:2" ht="12.75">
      <c r="A59" t="s">
        <v>633</v>
      </c>
      <c r="B59" t="s">
        <v>632</v>
      </c>
    </row>
    <row r="60" spans="1:2" ht="12.75">
      <c r="A60" t="s">
        <v>674</v>
      </c>
      <c r="B60" t="s">
        <v>1065</v>
      </c>
    </row>
    <row r="61" spans="1:2" ht="12.75">
      <c r="A61" t="s">
        <v>690</v>
      </c>
      <c r="B61" t="s">
        <v>1066</v>
      </c>
    </row>
    <row r="62" spans="1:2" ht="12.75">
      <c r="A62" t="s">
        <v>711</v>
      </c>
      <c r="B62" t="s">
        <v>710</v>
      </c>
    </row>
    <row r="63" spans="1:2" ht="12.75">
      <c r="A63" t="s">
        <v>716</v>
      </c>
      <c r="B63" t="s">
        <v>717</v>
      </c>
    </row>
    <row r="64" spans="1:2" ht="12.75">
      <c r="A64" t="s">
        <v>723</v>
      </c>
      <c r="B64" t="s">
        <v>720</v>
      </c>
    </row>
    <row r="65" spans="1:2" ht="12.75">
      <c r="A65" t="s">
        <v>737</v>
      </c>
      <c r="B65" t="s">
        <v>735</v>
      </c>
    </row>
    <row r="66" spans="1:2" ht="12.75">
      <c r="A66" t="s">
        <v>734</v>
      </c>
      <c r="B66" t="s">
        <v>733</v>
      </c>
    </row>
    <row r="67" spans="1:2" ht="12.75">
      <c r="A67" t="s">
        <v>766</v>
      </c>
      <c r="B67" t="s">
        <v>767</v>
      </c>
    </row>
    <row r="68" spans="1:2" ht="12.75">
      <c r="A68" t="s">
        <v>757</v>
      </c>
      <c r="B68" t="s">
        <v>759</v>
      </c>
    </row>
    <row r="69" spans="1:2" ht="12.75">
      <c r="A69" t="s">
        <v>951</v>
      </c>
      <c r="B69" t="s">
        <v>927</v>
      </c>
    </row>
    <row r="70" spans="1:2" ht="12.75">
      <c r="A70" t="s">
        <v>963</v>
      </c>
      <c r="B70" t="s">
        <v>962</v>
      </c>
    </row>
    <row r="71" spans="1:2" ht="12.75">
      <c r="A71" t="s">
        <v>1022</v>
      </c>
      <c r="B71" t="s">
        <v>1025</v>
      </c>
    </row>
    <row r="72" spans="1:2" ht="12.75">
      <c r="A72" t="s">
        <v>1033</v>
      </c>
      <c r="B72" t="s">
        <v>43</v>
      </c>
    </row>
    <row r="73" spans="1:2" ht="12.75">
      <c r="A73" t="s">
        <v>1039</v>
      </c>
      <c r="B73" t="s">
        <v>1035</v>
      </c>
    </row>
    <row r="74" spans="1:2" ht="12.75">
      <c r="A74" t="s">
        <v>1045</v>
      </c>
      <c r="B74" t="s">
        <v>1260</v>
      </c>
    </row>
    <row r="75" spans="1:2" ht="12.75">
      <c r="A75" t="s">
        <v>1076</v>
      </c>
      <c r="B75" t="s">
        <v>1075</v>
      </c>
    </row>
    <row r="76" spans="1:2" ht="12.75">
      <c r="A76" t="s">
        <v>1083</v>
      </c>
      <c r="B76" t="s">
        <v>1081</v>
      </c>
    </row>
    <row r="77" spans="1:2" ht="12.75">
      <c r="A77" t="s">
        <v>1101</v>
      </c>
      <c r="B77" t="s">
        <v>1102</v>
      </c>
    </row>
    <row r="78" spans="1:2" ht="12.75">
      <c r="A78" t="s">
        <v>1112</v>
      </c>
      <c r="B78" t="s">
        <v>1119</v>
      </c>
    </row>
    <row r="79" spans="1:2" ht="12.75">
      <c r="A79" t="s">
        <v>1128</v>
      </c>
      <c r="B79" t="s">
        <v>1555</v>
      </c>
    </row>
    <row r="80" spans="1:2" ht="12.75">
      <c r="A80" t="s">
        <v>1131</v>
      </c>
      <c r="B80" t="s">
        <v>1132</v>
      </c>
    </row>
    <row r="81" spans="1:2" ht="12.75">
      <c r="A81" t="s">
        <v>1143</v>
      </c>
      <c r="B81" t="s">
        <v>1141</v>
      </c>
    </row>
    <row r="82" spans="1:2" ht="12.75">
      <c r="A82" t="s">
        <v>1165</v>
      </c>
      <c r="B82" t="s">
        <v>1160</v>
      </c>
    </row>
    <row r="83" spans="1:2" ht="12.75">
      <c r="A83" t="s">
        <v>1169</v>
      </c>
      <c r="B83" t="s">
        <v>1171</v>
      </c>
    </row>
    <row r="84" spans="1:2" ht="12.75">
      <c r="A84" t="s">
        <v>1158</v>
      </c>
      <c r="B84" t="s">
        <v>1162</v>
      </c>
    </row>
    <row r="85" spans="1:2" ht="12.75">
      <c r="A85" t="s">
        <v>1220</v>
      </c>
      <c r="B85" t="s">
        <v>1225</v>
      </c>
    </row>
    <row r="86" spans="1:2" ht="12.75">
      <c r="A86" t="s">
        <v>1229</v>
      </c>
      <c r="B86" t="s">
        <v>1215</v>
      </c>
    </row>
    <row r="87" spans="1:2" ht="12.75">
      <c r="A87" t="s">
        <v>1261</v>
      </c>
      <c r="B87" t="s">
        <v>1260</v>
      </c>
    </row>
    <row r="88" spans="1:2" ht="12.75">
      <c r="A88" t="s">
        <v>1388</v>
      </c>
      <c r="B88" t="s">
        <v>1386</v>
      </c>
    </row>
    <row r="89" spans="1:2" ht="12.75">
      <c r="A89" t="s">
        <v>1392</v>
      </c>
      <c r="B89" t="s">
        <v>1391</v>
      </c>
    </row>
    <row r="90" spans="1:2" ht="12.75">
      <c r="A90" t="s">
        <v>1413</v>
      </c>
      <c r="B90" t="s">
        <v>1408</v>
      </c>
    </row>
    <row r="91" spans="1:2" ht="12.75">
      <c r="A91" t="s">
        <v>1509</v>
      </c>
      <c r="B91" t="s">
        <v>1422</v>
      </c>
    </row>
    <row r="92" spans="1:2" ht="12.75">
      <c r="A92" t="s">
        <v>1603</v>
      </c>
      <c r="B92" t="s">
        <v>1604</v>
      </c>
    </row>
    <row r="93" spans="1:2" ht="12.75">
      <c r="A93" t="s">
        <v>1607</v>
      </c>
      <c r="B93" t="s">
        <v>1606</v>
      </c>
    </row>
    <row r="94" spans="1:2" ht="12.75">
      <c r="A94" t="s">
        <v>1635</v>
      </c>
      <c r="B94" t="s">
        <v>1620</v>
      </c>
    </row>
    <row r="95" spans="1:2" ht="12.75">
      <c r="A95" t="s">
        <v>1650</v>
      </c>
      <c r="B95" t="s">
        <v>1653</v>
      </c>
    </row>
    <row r="96" spans="1:2" ht="12.75">
      <c r="A96" t="s">
        <v>1714</v>
      </c>
      <c r="B96" t="s">
        <v>1050</v>
      </c>
    </row>
    <row r="97" spans="1:2" ht="12.75">
      <c r="A97" t="s">
        <v>1720</v>
      </c>
      <c r="B97" t="s">
        <v>892</v>
      </c>
    </row>
    <row r="98" spans="1:2" ht="12.75">
      <c r="A98" t="s">
        <v>1725</v>
      </c>
      <c r="B98" t="s">
        <v>1723</v>
      </c>
    </row>
    <row r="100" ht="12.75">
      <c r="A100" s="1" t="s">
        <v>1552</v>
      </c>
    </row>
    <row r="102" spans="1:2" ht="12.75">
      <c r="A102" t="s">
        <v>466</v>
      </c>
      <c r="B102" t="s">
        <v>865</v>
      </c>
    </row>
    <row r="103" spans="1:2" ht="12.75">
      <c r="A103" t="s">
        <v>476</v>
      </c>
      <c r="B103" t="s">
        <v>885</v>
      </c>
    </row>
    <row r="104" spans="1:2" ht="12.75">
      <c r="A104" t="s">
        <v>477</v>
      </c>
      <c r="B104" t="s">
        <v>1330</v>
      </c>
    </row>
    <row r="105" spans="1:2" ht="12.75">
      <c r="A105" t="s">
        <v>506</v>
      </c>
      <c r="B105" t="s">
        <v>511</v>
      </c>
    </row>
    <row r="106" spans="1:2" ht="12.75">
      <c r="A106" t="s">
        <v>628</v>
      </c>
      <c r="B106" t="s">
        <v>658</v>
      </c>
    </row>
    <row r="107" spans="1:2" ht="12.75">
      <c r="A107" t="s">
        <v>636</v>
      </c>
      <c r="B107" t="s">
        <v>657</v>
      </c>
    </row>
    <row r="108" spans="1:2" ht="12.75">
      <c r="A108" t="s">
        <v>651</v>
      </c>
      <c r="B108" t="s">
        <v>660</v>
      </c>
    </row>
    <row r="109" spans="1:2" ht="12.75">
      <c r="A109" t="s">
        <v>681</v>
      </c>
      <c r="B109" t="s">
        <v>1479</v>
      </c>
    </row>
    <row r="110" spans="1:2" ht="12.75">
      <c r="A110" t="s">
        <v>688</v>
      </c>
      <c r="B110" t="s">
        <v>1572</v>
      </c>
    </row>
    <row r="111" spans="1:2" ht="12.75">
      <c r="A111" t="s">
        <v>689</v>
      </c>
      <c r="B111" t="s">
        <v>1464</v>
      </c>
    </row>
    <row r="112" spans="1:2" ht="12.75">
      <c r="A112" t="s">
        <v>714</v>
      </c>
      <c r="B112" t="s">
        <v>1103</v>
      </c>
    </row>
    <row r="113" spans="1:2" ht="12.75">
      <c r="A113" t="s">
        <v>724</v>
      </c>
      <c r="B113" t="s">
        <v>738</v>
      </c>
    </row>
    <row r="114" spans="1:2" ht="12.75">
      <c r="A114" t="s">
        <v>739</v>
      </c>
      <c r="B114" t="s">
        <v>379</v>
      </c>
    </row>
    <row r="115" spans="1:2" ht="12.75">
      <c r="A115" t="s">
        <v>793</v>
      </c>
      <c r="B115" t="s">
        <v>775</v>
      </c>
    </row>
    <row r="116" spans="1:2" ht="12.75">
      <c r="A116" t="s">
        <v>929</v>
      </c>
      <c r="B116" t="s">
        <v>1684</v>
      </c>
    </row>
    <row r="117" spans="1:2" ht="12.75">
      <c r="A117" t="s">
        <v>930</v>
      </c>
      <c r="B117" t="s">
        <v>5</v>
      </c>
    </row>
    <row r="118" spans="1:2" ht="12.75">
      <c r="A118" t="s">
        <v>936</v>
      </c>
      <c r="B118" t="s">
        <v>1480</v>
      </c>
    </row>
    <row r="119" spans="1:2" ht="12.75">
      <c r="A119" t="s">
        <v>937</v>
      </c>
      <c r="B119" t="s">
        <v>747</v>
      </c>
    </row>
    <row r="120" spans="1:2" ht="12.75">
      <c r="A120" t="s">
        <v>938</v>
      </c>
      <c r="B120" t="s">
        <v>1597</v>
      </c>
    </row>
    <row r="121" spans="1:2" ht="12.75">
      <c r="A121" t="s">
        <v>940</v>
      </c>
      <c r="B121" t="s">
        <v>1463</v>
      </c>
    </row>
    <row r="122" spans="1:2" ht="12.75">
      <c r="A122" t="s">
        <v>943</v>
      </c>
      <c r="B122" t="s">
        <v>1126</v>
      </c>
    </row>
    <row r="123" spans="1:2" ht="12.75">
      <c r="A123" t="s">
        <v>952</v>
      </c>
      <c r="B123" t="s">
        <v>1567</v>
      </c>
    </row>
    <row r="124" spans="1:2" ht="12.75">
      <c r="A124" t="s">
        <v>953</v>
      </c>
      <c r="B124" t="s">
        <v>1478</v>
      </c>
    </row>
    <row r="125" spans="1:2" ht="12.75">
      <c r="A125" t="s">
        <v>955</v>
      </c>
      <c r="B125" t="s">
        <v>1476</v>
      </c>
    </row>
    <row r="126" spans="1:2" ht="12.75">
      <c r="A126" t="s">
        <v>956</v>
      </c>
      <c r="B126" t="s">
        <v>745</v>
      </c>
    </row>
    <row r="127" spans="1:2" ht="12.75">
      <c r="A127" t="s">
        <v>957</v>
      </c>
      <c r="B127" t="s">
        <v>1430</v>
      </c>
    </row>
    <row r="128" spans="1:2" ht="12.75">
      <c r="A128" t="s">
        <v>1028</v>
      </c>
      <c r="B128" t="s">
        <v>1023</v>
      </c>
    </row>
    <row r="129" spans="1:2" ht="12.75">
      <c r="A129" t="s">
        <v>1061</v>
      </c>
      <c r="B129" t="s">
        <v>664</v>
      </c>
    </row>
    <row r="130" spans="1:2" ht="12.75">
      <c r="A130" t="s">
        <v>1068</v>
      </c>
      <c r="B130" t="s">
        <v>659</v>
      </c>
    </row>
    <row r="131" spans="1:2" ht="12.75">
      <c r="A131" t="s">
        <v>1069</v>
      </c>
      <c r="B131" t="s">
        <v>1699</v>
      </c>
    </row>
    <row r="132" spans="1:2" ht="12.75">
      <c r="A132" t="s">
        <v>1070</v>
      </c>
      <c r="B132" t="s">
        <v>601</v>
      </c>
    </row>
    <row r="133" spans="1:2" ht="12.75">
      <c r="A133" t="s">
        <v>1071</v>
      </c>
      <c r="B133" t="s">
        <v>1072</v>
      </c>
    </row>
    <row r="134" spans="1:2" ht="12.75">
      <c r="A134" t="s">
        <v>1127</v>
      </c>
      <c r="B134" t="s">
        <v>1565</v>
      </c>
    </row>
    <row r="135" spans="1:2" ht="12.75">
      <c r="A135" t="s">
        <v>1145</v>
      </c>
      <c r="B135" t="s">
        <v>1568</v>
      </c>
    </row>
    <row r="136" spans="1:2" ht="12.75">
      <c r="A136" t="s">
        <v>1150</v>
      </c>
      <c r="B136" t="s">
        <v>90</v>
      </c>
    </row>
    <row r="137" spans="1:2" ht="12.75">
      <c r="A137" t="s">
        <v>1253</v>
      </c>
      <c r="B137" t="s">
        <v>1234</v>
      </c>
    </row>
    <row r="138" spans="1:2" ht="12.75">
      <c r="A138" t="s">
        <v>1265</v>
      </c>
      <c r="B138" t="s">
        <v>1267</v>
      </c>
    </row>
    <row r="139" spans="1:2" ht="12.75">
      <c r="A139" t="s">
        <v>1323</v>
      </c>
      <c r="B139" t="s">
        <v>1322</v>
      </c>
    </row>
    <row r="140" spans="1:2" ht="12.75">
      <c r="A140" t="s">
        <v>1367</v>
      </c>
      <c r="B140" t="s">
        <v>1573</v>
      </c>
    </row>
    <row r="141" spans="1:2" ht="12.75">
      <c r="A141" t="s">
        <v>1419</v>
      </c>
      <c r="B141" t="s">
        <v>1702</v>
      </c>
    </row>
    <row r="142" spans="1:2" ht="12.75">
      <c r="A142" t="s">
        <v>1441</v>
      </c>
      <c r="B142" t="s">
        <v>1448</v>
      </c>
    </row>
    <row r="143" spans="1:2" ht="12.75">
      <c r="A143" t="s">
        <v>1456</v>
      </c>
      <c r="B143" t="s">
        <v>1570</v>
      </c>
    </row>
    <row r="144" spans="1:2" ht="12.75">
      <c r="A144" t="s">
        <v>1451</v>
      </c>
      <c r="B144" t="s">
        <v>1571</v>
      </c>
    </row>
    <row r="145" spans="1:2" ht="12.75">
      <c r="A145" t="s">
        <v>1485</v>
      </c>
      <c r="B145" t="s">
        <v>1484</v>
      </c>
    </row>
    <row r="146" spans="1:2" ht="12.75">
      <c r="A146" t="s">
        <v>1488</v>
      </c>
      <c r="B146" t="s">
        <v>1197</v>
      </c>
    </row>
    <row r="147" spans="1:2" ht="12.75">
      <c r="A147" t="s">
        <v>1526</v>
      </c>
      <c r="B147" t="s">
        <v>746</v>
      </c>
    </row>
    <row r="148" spans="1:2" ht="12.75">
      <c r="A148" t="s">
        <v>1515</v>
      </c>
      <c r="B148" t="s">
        <v>1313</v>
      </c>
    </row>
    <row r="149" spans="1:2" ht="12.75">
      <c r="A149" t="s">
        <v>1518</v>
      </c>
      <c r="B149" t="s">
        <v>1522</v>
      </c>
    </row>
    <row r="150" spans="1:2" ht="12.75">
      <c r="A150" t="s">
        <v>1591</v>
      </c>
      <c r="B150" t="s">
        <v>1314</v>
      </c>
    </row>
    <row r="151" spans="1:2" ht="12.75">
      <c r="A151" t="s">
        <v>1601</v>
      </c>
      <c r="B151" t="s">
        <v>1563</v>
      </c>
    </row>
    <row r="152" spans="1:2" ht="12.75">
      <c r="A152" t="s">
        <v>1613</v>
      </c>
      <c r="B152" t="s">
        <v>1569</v>
      </c>
    </row>
    <row r="153" spans="1:2" ht="12.75">
      <c r="A153" t="s">
        <v>1614</v>
      </c>
      <c r="B153" t="s">
        <v>1566</v>
      </c>
    </row>
    <row r="154" spans="1:2" ht="12.75">
      <c r="A154" t="s">
        <v>1628</v>
      </c>
      <c r="B154" t="s">
        <v>887</v>
      </c>
    </row>
    <row r="155" spans="1:2" ht="12.75">
      <c r="A155" t="s">
        <v>1630</v>
      </c>
      <c r="B155" t="s">
        <v>1100</v>
      </c>
    </row>
    <row r="156" spans="1:2" ht="12.75">
      <c r="A156" t="s">
        <v>1632</v>
      </c>
      <c r="B156" t="s">
        <v>390</v>
      </c>
    </row>
    <row r="157" spans="1:2" ht="12.75">
      <c r="A157" t="s">
        <v>1640</v>
      </c>
      <c r="B157" t="s">
        <v>1644</v>
      </c>
    </row>
    <row r="158" spans="1:2" ht="12.75">
      <c r="A158" t="s">
        <v>1664</v>
      </c>
      <c r="B158" t="s">
        <v>1698</v>
      </c>
    </row>
    <row r="159" spans="1:2" ht="12.75">
      <c r="A159" t="s">
        <v>1703</v>
      </c>
      <c r="B159" t="s">
        <v>1564</v>
      </c>
    </row>
    <row r="160" spans="1:2" ht="12.75">
      <c r="A160" t="s">
        <v>1685</v>
      </c>
      <c r="B160" t="s">
        <v>648</v>
      </c>
    </row>
    <row r="161" spans="1:2" ht="12.75">
      <c r="A161" t="s">
        <v>1705</v>
      </c>
      <c r="B161" t="s">
        <v>647</v>
      </c>
    </row>
    <row r="162" spans="1:2" ht="12.75">
      <c r="A162" t="s">
        <v>1711</v>
      </c>
      <c r="B162" t="s">
        <v>656</v>
      </c>
    </row>
    <row r="163" spans="1:2" ht="12.75">
      <c r="A163" t="s">
        <v>1713</v>
      </c>
      <c r="B163" t="s">
        <v>1126</v>
      </c>
    </row>
    <row r="164" spans="1:2" ht="12.75">
      <c r="A164" t="s">
        <v>1717</v>
      </c>
      <c r="B164" t="s">
        <v>893</v>
      </c>
    </row>
    <row r="165" spans="1:2" ht="12.75">
      <c r="A165" t="s">
        <v>1721</v>
      </c>
      <c r="B165" t="s">
        <v>1465</v>
      </c>
    </row>
    <row r="166" spans="1:2" ht="12.75">
      <c r="A166" t="s">
        <v>1726</v>
      </c>
      <c r="B166" t="s">
        <v>749</v>
      </c>
    </row>
    <row r="168" ht="12.75">
      <c r="A168" s="1" t="s">
        <v>670</v>
      </c>
    </row>
    <row r="170" spans="1:2" ht="12.75">
      <c r="A170" t="s">
        <v>383</v>
      </c>
      <c r="B170" t="s">
        <v>504</v>
      </c>
    </row>
    <row r="171" spans="1:2" ht="12.75">
      <c r="A171" t="s">
        <v>388</v>
      </c>
      <c r="B171" t="s">
        <v>27</v>
      </c>
    </row>
    <row r="172" spans="1:2" ht="12.75">
      <c r="A172" t="s">
        <v>395</v>
      </c>
      <c r="B172" t="s">
        <v>396</v>
      </c>
    </row>
    <row r="173" spans="1:2" ht="12.75">
      <c r="A173" t="s">
        <v>403</v>
      </c>
      <c r="B173" t="s">
        <v>1255</v>
      </c>
    </row>
    <row r="174" spans="1:2" ht="12.75">
      <c r="A174" t="s">
        <v>494</v>
      </c>
      <c r="B174" t="s">
        <v>495</v>
      </c>
    </row>
    <row r="175" spans="1:2" ht="12.75">
      <c r="A175" t="s">
        <v>615</v>
      </c>
      <c r="B175" t="s">
        <v>513</v>
      </c>
    </row>
    <row r="176" spans="1:2" ht="12.75">
      <c r="A176" t="s">
        <v>645</v>
      </c>
      <c r="B176" t="s">
        <v>1481</v>
      </c>
    </row>
    <row r="177" spans="1:2" ht="12.75">
      <c r="A177" t="s">
        <v>665</v>
      </c>
      <c r="B177" t="s">
        <v>1380</v>
      </c>
    </row>
    <row r="178" spans="1:2" ht="12.75">
      <c r="A178" t="s">
        <v>677</v>
      </c>
      <c r="B178" t="s">
        <v>669</v>
      </c>
    </row>
    <row r="179" spans="1:2" ht="12.75">
      <c r="A179" t="s">
        <v>728</v>
      </c>
      <c r="B179" t="s">
        <v>692</v>
      </c>
    </row>
    <row r="180" spans="1:2" ht="12.75">
      <c r="A180" t="s">
        <v>770</v>
      </c>
      <c r="B180" t="s">
        <v>794</v>
      </c>
    </row>
    <row r="181" spans="1:2" ht="12.75">
      <c r="A181" t="s">
        <v>928</v>
      </c>
      <c r="B181" t="s">
        <v>960</v>
      </c>
    </row>
    <row r="182" spans="1:2" ht="12.75">
      <c r="A182" t="s">
        <v>939</v>
      </c>
      <c r="B182" t="s">
        <v>1708</v>
      </c>
    </row>
    <row r="183" spans="1:2" ht="12.75">
      <c r="A183" t="s">
        <v>941</v>
      </c>
      <c r="B183" t="s">
        <v>1382</v>
      </c>
    </row>
    <row r="184" spans="1:2" ht="12.75">
      <c r="A184" t="s">
        <v>954</v>
      </c>
      <c r="B184" t="s">
        <v>1086</v>
      </c>
    </row>
    <row r="185" spans="1:2" ht="12.75">
      <c r="A185" t="s">
        <v>971</v>
      </c>
      <c r="B185" t="s">
        <v>969</v>
      </c>
    </row>
    <row r="186" spans="1:2" ht="12.75">
      <c r="A186" t="s">
        <v>1010</v>
      </c>
      <c r="B186" t="s">
        <v>989</v>
      </c>
    </row>
    <row r="187" spans="1:2" ht="12.75">
      <c r="A187" t="s">
        <v>988</v>
      </c>
      <c r="B187" t="s">
        <v>995</v>
      </c>
    </row>
    <row r="188" spans="1:2" ht="12.75">
      <c r="A188" t="s">
        <v>1041</v>
      </c>
      <c r="B188" t="s">
        <v>1049</v>
      </c>
    </row>
    <row r="189" spans="1:2" ht="12.75">
      <c r="A189" t="s">
        <v>1079</v>
      </c>
      <c r="B189" t="s">
        <v>1096</v>
      </c>
    </row>
    <row r="190" spans="1:2" ht="12.75">
      <c r="A190" t="s">
        <v>1148</v>
      </c>
      <c r="B190" t="s">
        <v>1147</v>
      </c>
    </row>
    <row r="191" spans="1:2" ht="12.75">
      <c r="A191" t="s">
        <v>1154</v>
      </c>
      <c r="B191" t="s">
        <v>1153</v>
      </c>
    </row>
    <row r="192" spans="1:2" ht="12.75">
      <c r="A192" t="s">
        <v>1164</v>
      </c>
      <c r="B192" t="s">
        <v>1172</v>
      </c>
    </row>
    <row r="193" spans="1:2" ht="12.75">
      <c r="A193" t="s">
        <v>1264</v>
      </c>
      <c r="B193" t="s">
        <v>1271</v>
      </c>
    </row>
    <row r="194" spans="1:2" ht="12.75">
      <c r="A194" t="s">
        <v>1289</v>
      </c>
      <c r="B194" t="s">
        <v>1271</v>
      </c>
    </row>
    <row r="195" spans="1:2" ht="12.75">
      <c r="A195" t="s">
        <v>1292</v>
      </c>
      <c r="B195" t="s">
        <v>1309</v>
      </c>
    </row>
    <row r="196" spans="1:2" ht="12.75">
      <c r="A196" t="s">
        <v>1308</v>
      </c>
      <c r="B196" t="s">
        <v>1297</v>
      </c>
    </row>
    <row r="197" spans="1:2" ht="12.75">
      <c r="A197" t="s">
        <v>1316</v>
      </c>
      <c r="B197" t="s">
        <v>1317</v>
      </c>
    </row>
    <row r="198" spans="1:2" ht="12.75">
      <c r="A198" t="s">
        <v>1329</v>
      </c>
      <c r="B198" t="s">
        <v>1089</v>
      </c>
    </row>
    <row r="199" spans="1:2" ht="12.75">
      <c r="A199" t="s">
        <v>1393</v>
      </c>
      <c r="B199" t="s">
        <v>1370</v>
      </c>
    </row>
    <row r="200" spans="1:2" ht="12.75">
      <c r="A200" t="s">
        <v>1405</v>
      </c>
      <c r="B200" t="s">
        <v>1403</v>
      </c>
    </row>
    <row r="201" spans="1:2" ht="12.75">
      <c r="A201" t="s">
        <v>1406</v>
      </c>
      <c r="B201" t="s">
        <v>1404</v>
      </c>
    </row>
    <row r="202" spans="1:2" ht="12.75">
      <c r="A202" t="s">
        <v>1416</v>
      </c>
      <c r="B202" t="s">
        <v>707</v>
      </c>
    </row>
    <row r="203" spans="1:2" ht="12.75">
      <c r="A203" t="s">
        <v>1418</v>
      </c>
      <c r="B203" t="s">
        <v>1719</v>
      </c>
    </row>
    <row r="204" spans="1:2" ht="12.75">
      <c r="A204" t="s">
        <v>1423</v>
      </c>
      <c r="B204" t="s">
        <v>378</v>
      </c>
    </row>
    <row r="205" spans="1:2" ht="12.75">
      <c r="A205" t="s">
        <v>1427</v>
      </c>
      <c r="B205" t="s">
        <v>1426</v>
      </c>
    </row>
    <row r="206" spans="1:2" ht="12.75">
      <c r="A206" t="s">
        <v>1428</v>
      </c>
      <c r="B206" t="s">
        <v>28</v>
      </c>
    </row>
    <row r="207" spans="1:2" ht="12.75">
      <c r="A207" t="s">
        <v>1443</v>
      </c>
      <c r="B207" t="s">
        <v>508</v>
      </c>
    </row>
    <row r="208" spans="1:2" ht="12.75">
      <c r="A208" t="s">
        <v>1458</v>
      </c>
      <c r="B208" t="s">
        <v>1001</v>
      </c>
    </row>
    <row r="209" spans="1:2" ht="12.75">
      <c r="A209" t="s">
        <v>1540</v>
      </c>
      <c r="B209" t="s">
        <v>1542</v>
      </c>
    </row>
    <row r="210" spans="1:2" ht="12.75">
      <c r="A210" t="s">
        <v>1575</v>
      </c>
      <c r="B210" t="s">
        <v>1593</v>
      </c>
    </row>
    <row r="211" spans="1:2" ht="12.75">
      <c r="A211" t="s">
        <v>1625</v>
      </c>
      <c r="B211" t="s">
        <v>1624</v>
      </c>
    </row>
    <row r="212" spans="1:2" ht="12.75">
      <c r="A212" t="s">
        <v>1626</v>
      </c>
      <c r="B212" t="s">
        <v>1554</v>
      </c>
    </row>
    <row r="213" spans="1:2" ht="12.75">
      <c r="A213" t="s">
        <v>1683</v>
      </c>
      <c r="B213" t="s">
        <v>1670</v>
      </c>
    </row>
    <row r="214" spans="1:2" ht="12.75">
      <c r="A214" t="s">
        <v>1692</v>
      </c>
      <c r="B214" t="s">
        <v>1682</v>
      </c>
    </row>
    <row r="215" spans="1:2" ht="12.75">
      <c r="A215" t="s">
        <v>1732</v>
      </c>
      <c r="B215" t="s">
        <v>478</v>
      </c>
    </row>
    <row r="217" ht="12.75">
      <c r="A217" s="1" t="s">
        <v>1157</v>
      </c>
    </row>
    <row r="219" spans="1:2" ht="12.75">
      <c r="A219" t="s">
        <v>970</v>
      </c>
      <c r="B219" t="s">
        <v>964</v>
      </c>
    </row>
    <row r="220" spans="1:2" ht="12.75">
      <c r="A220" t="s">
        <v>1166</v>
      </c>
      <c r="B220" t="s">
        <v>889</v>
      </c>
    </row>
    <row r="221" spans="1:2" ht="12.75">
      <c r="A221" t="s">
        <v>1315</v>
      </c>
      <c r="B221" t="s">
        <v>967</v>
      </c>
    </row>
    <row r="222" spans="1:2" ht="12.75">
      <c r="A222" t="s">
        <v>1457</v>
      </c>
      <c r="B222" t="s">
        <v>26</v>
      </c>
    </row>
    <row r="223" spans="1:2" ht="12.75">
      <c r="A223" t="s">
        <v>1385</v>
      </c>
      <c r="B223" t="s">
        <v>965</v>
      </c>
    </row>
    <row r="226" ht="12.75">
      <c r="A226" s="1" t="s">
        <v>406</v>
      </c>
    </row>
    <row r="228" spans="1:2" ht="12.75">
      <c r="A228" t="s">
        <v>1415</v>
      </c>
      <c r="B228" t="s">
        <v>1510</v>
      </c>
    </row>
    <row r="229" spans="1:2" ht="12.75">
      <c r="A229" t="s">
        <v>402</v>
      </c>
      <c r="B229" t="s">
        <v>15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4"/>
      <c r="V1" s="44"/>
      <c r="W1" s="22"/>
      <c r="X1" s="22"/>
      <c r="AB1" s="44"/>
      <c r="AJ1" s="6"/>
      <c r="AU1" s="6"/>
      <c r="BG1" s="6"/>
      <c r="BL1" s="33"/>
      <c r="BM1" s="33"/>
      <c r="BN1" s="33"/>
      <c r="BO1" s="33"/>
      <c r="BP1" s="44"/>
      <c r="BT1" s="33"/>
      <c r="BU1" s="33"/>
      <c r="BW1" s="44"/>
      <c r="BX1" s="44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57421875" style="0" customWidth="1"/>
    <col min="10" max="10" width="7.57421875" style="0" customWidth="1"/>
    <col min="11" max="11" width="22.281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281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1067</v>
      </c>
      <c r="C1" s="4"/>
      <c r="D1" s="3"/>
      <c r="E1" s="4" t="s">
        <v>547</v>
      </c>
      <c r="F1" s="25"/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26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8">
        <v>1454</v>
      </c>
      <c r="B9" s="14" t="s">
        <v>1239</v>
      </c>
      <c r="C9" s="14" t="s">
        <v>644</v>
      </c>
      <c r="D9" s="14" t="s">
        <v>222</v>
      </c>
      <c r="E9" s="14" t="s">
        <v>40</v>
      </c>
      <c r="F9" s="32" t="s">
        <v>119</v>
      </c>
      <c r="G9" s="2"/>
      <c r="H9" s="2" t="s">
        <v>683</v>
      </c>
      <c r="I9" s="2" t="s">
        <v>882</v>
      </c>
      <c r="J9" s="14" t="s">
        <v>415</v>
      </c>
      <c r="K9" s="2" t="s">
        <v>687</v>
      </c>
      <c r="L9" s="14" t="s">
        <v>650</v>
      </c>
      <c r="M9" s="14" t="s">
        <v>453</v>
      </c>
      <c r="N9" s="2" t="s">
        <v>1660</v>
      </c>
      <c r="O9" s="10">
        <v>5</v>
      </c>
      <c r="P9" s="10"/>
      <c r="Q9" s="10"/>
      <c r="R9" s="9"/>
      <c r="S9" s="9"/>
      <c r="T9" s="9"/>
      <c r="U9" s="44">
        <v>480</v>
      </c>
      <c r="V9" s="44">
        <v>96</v>
      </c>
      <c r="W9" s="22"/>
      <c r="X9" s="22">
        <v>8</v>
      </c>
      <c r="AF9" s="22">
        <v>40</v>
      </c>
      <c r="AG9">
        <v>8</v>
      </c>
      <c r="AH9">
        <v>0</v>
      </c>
      <c r="AI9">
        <v>0</v>
      </c>
      <c r="AJ9" s="22">
        <v>8</v>
      </c>
      <c r="AK9" s="22"/>
      <c r="BS9" s="20"/>
      <c r="BW9" s="44">
        <v>480</v>
      </c>
      <c r="BX9" s="44">
        <v>96</v>
      </c>
      <c r="CJ9">
        <v>1454</v>
      </c>
      <c r="CK9" s="2" t="s">
        <v>687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9.28125" style="0" customWidth="1"/>
    <col min="7" max="7" width="8.7109375" style="0" customWidth="1"/>
    <col min="8" max="8" width="12.8515625" style="0" customWidth="1"/>
    <col min="9" max="9" width="39.57421875" style="0" customWidth="1"/>
    <col min="10" max="10" width="7.57421875" style="0" customWidth="1"/>
    <col min="11" max="11" width="33.421875" style="0" customWidth="1"/>
    <col min="12" max="12" width="6.28125" style="0" customWidth="1"/>
    <col min="13" max="13" width="11.57421875" style="0" customWidth="1"/>
    <col min="14" max="14" width="1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3.421875" style="0" customWidth="1"/>
    <col min="90" max="90" width="148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28125" style="0" customWidth="1"/>
    <col min="10" max="10" width="7.57421875" style="0" customWidth="1"/>
    <col min="11" max="11" width="21.8515625" style="0" customWidth="1"/>
    <col min="12" max="12" width="6.28125" style="0" customWidth="1"/>
    <col min="13" max="13" width="7.57421875" style="0" customWidth="1"/>
    <col min="14" max="14" width="17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8515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316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4" customWidth="1"/>
    <col min="2" max="2" width="17.8515625" style="14" customWidth="1"/>
    <col min="3" max="3" width="8.7109375" style="14" customWidth="1"/>
    <col min="4" max="4" width="7.421875" style="14" customWidth="1"/>
    <col min="5" max="5" width="6.421875" style="17" customWidth="1"/>
    <col min="6" max="6" width="11.57421875" style="9" customWidth="1"/>
    <col min="7" max="7" width="9.00390625" style="17" customWidth="1"/>
    <col min="8" max="8" width="14.7109375" style="2" customWidth="1"/>
    <col min="9" max="9" width="9.8515625" style="10" customWidth="1"/>
    <col min="10" max="10" width="14.421875" style="6" customWidth="1"/>
    <col min="11" max="11" width="75.140625" style="2" customWidth="1"/>
    <col min="12" max="12" width="7.7109375" style="14" hidden="1" customWidth="1"/>
    <col min="13" max="13" width="55.7109375" style="17" hidden="1" customWidth="1"/>
    <col min="14" max="14" width="9.421875" style="14" hidden="1" customWidth="1"/>
    <col min="15" max="15" width="12.8515625" style="14" hidden="1" customWidth="1"/>
    <col min="16" max="16" width="88.8515625" style="2" customWidth="1"/>
    <col min="17" max="17" width="9.8515625" style="10" customWidth="1"/>
    <col min="18" max="18" width="9.00390625" style="10" customWidth="1"/>
    <col min="19" max="19" width="8.28125" style="10" customWidth="1"/>
    <col min="20" max="22" width="14.28125" style="9" customWidth="1"/>
    <col min="23" max="23" width="13.57421875" style="22" customWidth="1"/>
    <col min="24" max="24" width="14.421875" style="22" customWidth="1"/>
    <col min="25" max="25" width="16.140625" style="22" customWidth="1"/>
    <col min="26" max="26" width="14.421875" style="22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6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5742187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55.7109375" style="0" customWidth="1"/>
    <col min="92" max="92" width="215.7109375" style="0" customWidth="1"/>
    <col min="93" max="93" width="14.00390625" style="0" customWidth="1"/>
    <col min="94" max="102" width="8.421875" style="0" customWidth="1"/>
  </cols>
  <sheetData>
    <row r="1" spans="2:90" ht="12.75">
      <c r="B1" s="18" t="s">
        <v>538</v>
      </c>
      <c r="C1" s="4"/>
      <c r="D1" s="3"/>
      <c r="E1" s="4" t="s">
        <v>547</v>
      </c>
      <c r="F1" s="25"/>
      <c r="G1" s="38"/>
      <c r="H1" s="3"/>
      <c r="I1" s="40"/>
      <c r="J1" s="7"/>
      <c r="L1" s="16"/>
      <c r="N1" s="16"/>
      <c r="O1" s="16"/>
      <c r="Q1" s="40"/>
      <c r="R1" s="40"/>
      <c r="S1" s="40"/>
      <c r="T1" s="25"/>
      <c r="U1" s="25"/>
      <c r="V1" s="25"/>
      <c r="W1" s="34"/>
      <c r="X1" s="34"/>
      <c r="Y1" s="34"/>
      <c r="Z1" s="34"/>
      <c r="AA1" s="34"/>
      <c r="AB1" s="34"/>
      <c r="AC1" s="34"/>
      <c r="AD1" s="34"/>
      <c r="AE1" s="31"/>
      <c r="AF1" s="31"/>
      <c r="AG1" s="31"/>
      <c r="AH1" s="31"/>
      <c r="AI1" s="31"/>
      <c r="AJ1" s="31"/>
      <c r="AK1" s="31"/>
      <c r="AL1" s="7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3"/>
      <c r="BD1" s="34"/>
      <c r="BE1" s="34"/>
      <c r="BF1" s="34"/>
      <c r="BG1" s="34"/>
      <c r="BH1" s="34"/>
      <c r="BI1" s="34"/>
      <c r="BJ1" s="33"/>
      <c r="BK1" s="33"/>
      <c r="BL1" s="33"/>
      <c r="BM1" s="33"/>
      <c r="BN1" s="33"/>
      <c r="BQ1" s="19"/>
      <c r="BR1" s="33"/>
      <c r="BS1" s="35"/>
      <c r="BY1" s="34"/>
      <c r="BZ1" s="34"/>
      <c r="CA1" s="33"/>
      <c r="CB1" s="33"/>
      <c r="CC1" s="33"/>
      <c r="CD1" s="33"/>
      <c r="CE1" s="33"/>
      <c r="CF1" s="33"/>
      <c r="CG1" s="31"/>
      <c r="CH1" s="31"/>
      <c r="CI1" s="34"/>
      <c r="CJ1" s="31"/>
      <c r="CK1" s="31"/>
      <c r="CL1" s="19"/>
    </row>
    <row r="2" spans="1:90" ht="12.75">
      <c r="A2" s="15"/>
      <c r="B2" s="16"/>
      <c r="E2" s="14"/>
      <c r="F2" s="25"/>
      <c r="G2" s="38"/>
      <c r="H2" s="3"/>
      <c r="I2" s="40"/>
      <c r="J2" s="7"/>
      <c r="L2" s="16"/>
      <c r="N2" s="16"/>
      <c r="O2" s="16"/>
      <c r="Q2" s="40"/>
      <c r="R2" s="40"/>
      <c r="S2" s="40"/>
      <c r="T2" s="25"/>
      <c r="U2" s="25"/>
      <c r="V2" s="25"/>
      <c r="W2" s="34"/>
      <c r="X2" s="34"/>
      <c r="Y2" s="34"/>
      <c r="Z2" s="34"/>
      <c r="AA2" s="34"/>
      <c r="AB2" s="34"/>
      <c r="AC2" s="34"/>
      <c r="AD2" s="34"/>
      <c r="AE2" s="31"/>
      <c r="AF2" s="31"/>
      <c r="AG2" s="31"/>
      <c r="AH2" s="31"/>
      <c r="AI2" s="31"/>
      <c r="AJ2" s="31"/>
      <c r="AK2" s="31"/>
      <c r="AL2" s="7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3"/>
      <c r="BD2" s="34"/>
      <c r="BE2" s="34"/>
      <c r="BF2" s="34"/>
      <c r="BG2" s="34"/>
      <c r="BH2" s="34"/>
      <c r="BI2" s="34"/>
      <c r="BJ2" s="33"/>
      <c r="BK2" s="33"/>
      <c r="BL2" s="33"/>
      <c r="BM2" s="33"/>
      <c r="BN2" s="33"/>
      <c r="BQ2" s="19"/>
      <c r="BR2" s="33"/>
      <c r="BS2" s="35"/>
      <c r="BY2" s="34"/>
      <c r="BZ2" s="34"/>
      <c r="CA2" s="33"/>
      <c r="CB2" s="33"/>
      <c r="CC2" s="33"/>
      <c r="CD2" s="33"/>
      <c r="CE2" s="33"/>
      <c r="CF2" s="33"/>
      <c r="CG2" s="31"/>
      <c r="CH2" s="31"/>
      <c r="CI2" s="34"/>
      <c r="CJ2" s="31"/>
      <c r="CK2" s="31"/>
      <c r="CL2" s="19"/>
    </row>
    <row r="3" spans="1:94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1" t="s">
        <v>1236</v>
      </c>
      <c r="J3" s="11" t="s">
        <v>1336</v>
      </c>
      <c r="K3" s="4" t="s">
        <v>712</v>
      </c>
      <c r="L3" s="15" t="s">
        <v>512</v>
      </c>
      <c r="M3" s="39" t="s">
        <v>1529</v>
      </c>
      <c r="N3" s="15" t="s">
        <v>1528</v>
      </c>
      <c r="O3" s="15" t="s">
        <v>668</v>
      </c>
      <c r="P3" s="4" t="s">
        <v>1369</v>
      </c>
      <c r="Q3" s="41" t="s">
        <v>1236</v>
      </c>
      <c r="R3" s="41" t="s">
        <v>1236</v>
      </c>
      <c r="S3" s="48" t="s">
        <v>1232</v>
      </c>
      <c r="T3" s="43" t="s">
        <v>1582</v>
      </c>
      <c r="U3" s="43" t="s">
        <v>1582</v>
      </c>
      <c r="V3" s="43" t="s">
        <v>1582</v>
      </c>
      <c r="W3" s="28" t="s">
        <v>1582</v>
      </c>
      <c r="X3" s="28" t="s">
        <v>1336</v>
      </c>
      <c r="Y3" s="28" t="s">
        <v>1338</v>
      </c>
      <c r="Z3" s="28" t="s">
        <v>1336</v>
      </c>
      <c r="AA3" s="8" t="s">
        <v>1336</v>
      </c>
      <c r="AB3" s="8" t="s">
        <v>1336</v>
      </c>
      <c r="AC3" s="8" t="s">
        <v>1336</v>
      </c>
      <c r="AD3" s="8" t="s">
        <v>1336</v>
      </c>
      <c r="AE3" s="8" t="s">
        <v>1582</v>
      </c>
      <c r="AF3" s="24" t="s">
        <v>1582</v>
      </c>
      <c r="AG3" s="8" t="s">
        <v>1582</v>
      </c>
      <c r="AH3" s="21" t="s">
        <v>1582</v>
      </c>
      <c r="AI3" s="21" t="s">
        <v>1336</v>
      </c>
      <c r="AJ3" s="21" t="s">
        <v>1336</v>
      </c>
      <c r="AK3" s="21" t="s">
        <v>1336</v>
      </c>
      <c r="AL3" s="11" t="s">
        <v>1336</v>
      </c>
      <c r="AM3" s="28" t="s">
        <v>1334</v>
      </c>
      <c r="AN3" s="28" t="s">
        <v>1491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1336</v>
      </c>
      <c r="AV3" s="28" t="s">
        <v>1336</v>
      </c>
      <c r="AW3" s="28" t="s">
        <v>1442</v>
      </c>
      <c r="AX3" s="28" t="s">
        <v>1454</v>
      </c>
      <c r="AY3" s="28" t="s">
        <v>1043</v>
      </c>
      <c r="AZ3" s="28" t="s">
        <v>654</v>
      </c>
      <c r="BA3" s="28" t="s">
        <v>1599</v>
      </c>
      <c r="BB3" s="28" t="s">
        <v>1108</v>
      </c>
      <c r="BC3" s="27" t="s">
        <v>1019</v>
      </c>
      <c r="BD3" s="28" t="s">
        <v>1468</v>
      </c>
      <c r="BE3" s="28" t="s">
        <v>1149</v>
      </c>
      <c r="BF3" s="28" t="s">
        <v>1325</v>
      </c>
      <c r="BG3" s="28" t="s">
        <v>1532</v>
      </c>
      <c r="BH3" s="28" t="s">
        <v>1059</v>
      </c>
      <c r="BI3" s="28" t="s">
        <v>1257</v>
      </c>
      <c r="BJ3" s="27" t="s">
        <v>663</v>
      </c>
      <c r="BK3" s="27" t="s">
        <v>1578</v>
      </c>
      <c r="BL3" s="27" t="s">
        <v>1583</v>
      </c>
      <c r="BM3" s="27" t="s">
        <v>682</v>
      </c>
      <c r="BN3" s="27" t="s">
        <v>750</v>
      </c>
      <c r="BO3" s="8" t="s">
        <v>1472</v>
      </c>
      <c r="BP3" s="8" t="s">
        <v>1256</v>
      </c>
      <c r="BQ3" s="8" t="s">
        <v>1576</v>
      </c>
      <c r="BR3" s="27" t="s">
        <v>1579</v>
      </c>
      <c r="BS3" s="30" t="s">
        <v>750</v>
      </c>
      <c r="BT3" s="8" t="s">
        <v>886</v>
      </c>
      <c r="BU3" s="8" t="s">
        <v>1580</v>
      </c>
      <c r="BV3" s="8" t="s">
        <v>1590</v>
      </c>
      <c r="BW3" s="8" t="s">
        <v>1590</v>
      </c>
      <c r="BX3" s="8" t="s">
        <v>1589</v>
      </c>
      <c r="BY3" s="28" t="s">
        <v>1577</v>
      </c>
      <c r="BZ3" s="28" t="s">
        <v>1337</v>
      </c>
      <c r="CA3" s="27" t="s">
        <v>966</v>
      </c>
      <c r="CB3" s="27" t="s">
        <v>1233</v>
      </c>
      <c r="CC3" s="27" t="s">
        <v>1608</v>
      </c>
      <c r="CD3" s="27" t="s">
        <v>1584</v>
      </c>
      <c r="CE3" s="27" t="s">
        <v>795</v>
      </c>
      <c r="CF3" s="27" t="s">
        <v>795</v>
      </c>
      <c r="CG3" s="21" t="s">
        <v>1608</v>
      </c>
      <c r="CH3" s="21" t="s">
        <v>890</v>
      </c>
      <c r="CI3" s="28" t="s">
        <v>1596</v>
      </c>
      <c r="CJ3" s="21" t="s">
        <v>691</v>
      </c>
      <c r="CK3" s="21" t="s">
        <v>703</v>
      </c>
      <c r="CL3" s="8" t="s">
        <v>1707</v>
      </c>
      <c r="CM3" s="8" t="s">
        <v>655</v>
      </c>
      <c r="CN3" s="8" t="s">
        <v>1383</v>
      </c>
      <c r="CO3" s="8" t="s">
        <v>630</v>
      </c>
      <c r="CP3" s="1"/>
    </row>
    <row r="4" spans="1:94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1" t="s">
        <v>1242</v>
      </c>
      <c r="J4" s="11" t="s">
        <v>3</v>
      </c>
      <c r="K4" s="4" t="s">
        <v>1248</v>
      </c>
      <c r="L4" s="15" t="s">
        <v>1489</v>
      </c>
      <c r="M4" s="39" t="s">
        <v>1553</v>
      </c>
      <c r="N4" s="15" t="s">
        <v>662</v>
      </c>
      <c r="O4" s="15" t="s">
        <v>662</v>
      </c>
      <c r="P4" s="4" t="s">
        <v>676</v>
      </c>
      <c r="Q4" s="41" t="s">
        <v>1242</v>
      </c>
      <c r="R4" s="41" t="s">
        <v>1243</v>
      </c>
      <c r="S4" s="48" t="s">
        <v>1576</v>
      </c>
      <c r="T4" s="43" t="s">
        <v>1106</v>
      </c>
      <c r="U4" s="43" t="s">
        <v>1106</v>
      </c>
      <c r="V4" s="43" t="s">
        <v>1106</v>
      </c>
      <c r="W4" s="28" t="s">
        <v>1105</v>
      </c>
      <c r="X4" s="28" t="s">
        <v>1105</v>
      </c>
      <c r="Y4" s="28" t="s">
        <v>1475</v>
      </c>
      <c r="Z4" s="28" t="s">
        <v>1327</v>
      </c>
      <c r="AA4" s="8" t="s">
        <v>1105</v>
      </c>
      <c r="AB4" s="8" t="s">
        <v>1105</v>
      </c>
      <c r="AC4" s="8" t="s">
        <v>1105</v>
      </c>
      <c r="AD4" s="8" t="s">
        <v>1105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8" t="s">
        <v>1326</v>
      </c>
      <c r="AK4" s="8" t="s">
        <v>1326</v>
      </c>
      <c r="AL4" s="11" t="s">
        <v>3</v>
      </c>
      <c r="AM4" s="28" t="s">
        <v>1291</v>
      </c>
      <c r="AN4" s="28" t="s">
        <v>1335</v>
      </c>
      <c r="AO4" s="28" t="s">
        <v>23</v>
      </c>
      <c r="AP4" s="28" t="s">
        <v>23</v>
      </c>
      <c r="AQ4" s="28" t="s">
        <v>23</v>
      </c>
      <c r="AR4" s="28" t="s">
        <v>23</v>
      </c>
      <c r="AS4" s="28" t="s">
        <v>24</v>
      </c>
      <c r="AT4" s="28" t="s">
        <v>24</v>
      </c>
      <c r="AU4" s="28" t="s">
        <v>24</v>
      </c>
      <c r="AV4" s="28" t="s">
        <v>24</v>
      </c>
      <c r="AW4" s="1"/>
      <c r="AX4" s="28" t="s">
        <v>463</v>
      </c>
      <c r="AY4" s="28" t="s">
        <v>641</v>
      </c>
      <c r="AZ4" s="28"/>
      <c r="BA4" s="28" t="s">
        <v>654</v>
      </c>
      <c r="BB4" s="28" t="s">
        <v>654</v>
      </c>
      <c r="BC4" s="27"/>
      <c r="BD4" s="28"/>
      <c r="BE4" s="28" t="s">
        <v>1461</v>
      </c>
      <c r="BF4" s="28" t="s">
        <v>1444</v>
      </c>
      <c r="BG4" s="28"/>
      <c r="BH4" s="28"/>
      <c r="BI4" s="28"/>
      <c r="BJ4" s="27" t="s">
        <v>1257</v>
      </c>
      <c r="BK4" s="27" t="s">
        <v>1332</v>
      </c>
      <c r="BL4" s="27" t="s">
        <v>1247</v>
      </c>
      <c r="BM4" s="27" t="s">
        <v>1263</v>
      </c>
      <c r="BN4" s="27" t="s">
        <v>1263</v>
      </c>
      <c r="BO4" s="8" t="s">
        <v>1263</v>
      </c>
      <c r="BP4" s="8" t="s">
        <v>1263</v>
      </c>
      <c r="BQ4" s="8" t="s">
        <v>751</v>
      </c>
      <c r="BR4" s="27" t="s">
        <v>1241</v>
      </c>
      <c r="BS4" s="30" t="s">
        <v>408</v>
      </c>
      <c r="BT4" s="8" t="s">
        <v>408</v>
      </c>
      <c r="BU4" s="8" t="s">
        <v>4</v>
      </c>
      <c r="BV4" s="8" t="s">
        <v>393</v>
      </c>
      <c r="BW4" s="8" t="s">
        <v>393</v>
      </c>
      <c r="BX4" s="8" t="s">
        <v>393</v>
      </c>
      <c r="BY4" s="28" t="s">
        <v>1053</v>
      </c>
      <c r="BZ4" s="28" t="s">
        <v>1312</v>
      </c>
      <c r="CA4" s="27" t="s">
        <v>1196</v>
      </c>
      <c r="CB4" s="27" t="s">
        <v>966</v>
      </c>
      <c r="CC4" s="27" t="s">
        <v>1244</v>
      </c>
      <c r="CD4" s="27" t="s">
        <v>1245</v>
      </c>
      <c r="CE4" s="27" t="s">
        <v>23</v>
      </c>
      <c r="CF4" s="27" t="s">
        <v>24</v>
      </c>
      <c r="CG4" s="21" t="s">
        <v>675</v>
      </c>
      <c r="CH4" s="8" t="s">
        <v>9</v>
      </c>
      <c r="CI4" s="28" t="s">
        <v>1240</v>
      </c>
      <c r="CJ4" s="21" t="s">
        <v>1051</v>
      </c>
      <c r="CK4" s="21" t="s">
        <v>1562</v>
      </c>
      <c r="CL4" s="8"/>
      <c r="CM4" s="8"/>
      <c r="CN4" s="8" t="s">
        <v>1235</v>
      </c>
      <c r="CO4" s="1" t="s">
        <v>394</v>
      </c>
      <c r="CP4" s="1"/>
    </row>
    <row r="5" spans="1:94" ht="12.75">
      <c r="A5" s="16"/>
      <c r="B5" s="16"/>
      <c r="C5" s="16"/>
      <c r="D5" s="16"/>
      <c r="E5" s="15"/>
      <c r="F5" s="25"/>
      <c r="G5" s="38"/>
      <c r="H5" s="3"/>
      <c r="I5" s="41"/>
      <c r="J5" s="12" t="s">
        <v>13</v>
      </c>
      <c r="K5" s="3"/>
      <c r="L5" s="16"/>
      <c r="M5" s="38"/>
      <c r="N5" s="15"/>
      <c r="O5" s="15"/>
      <c r="P5" s="4"/>
      <c r="Q5" s="41"/>
      <c r="R5" s="41"/>
      <c r="S5" s="41"/>
      <c r="T5" s="43" t="s">
        <v>1331</v>
      </c>
      <c r="U5" s="45" t="s">
        <v>1474</v>
      </c>
      <c r="V5" s="45" t="s">
        <v>1282</v>
      </c>
      <c r="W5" s="36" t="s">
        <v>13</v>
      </c>
      <c r="X5" s="36" t="s">
        <v>705</v>
      </c>
      <c r="Y5" s="36" t="s">
        <v>705</v>
      </c>
      <c r="Z5" s="36" t="s">
        <v>705</v>
      </c>
      <c r="AA5" s="1" t="s">
        <v>1331</v>
      </c>
      <c r="AB5" s="1" t="s">
        <v>1474</v>
      </c>
      <c r="AC5" s="1" t="s">
        <v>1282</v>
      </c>
      <c r="AD5" s="1" t="s">
        <v>13</v>
      </c>
      <c r="AE5" s="8" t="s">
        <v>1331</v>
      </c>
      <c r="AF5" s="1" t="s">
        <v>1474</v>
      </c>
      <c r="AG5" s="1" t="s">
        <v>1282</v>
      </c>
      <c r="AH5" s="1" t="s">
        <v>13</v>
      </c>
      <c r="AI5" s="8" t="s">
        <v>1331</v>
      </c>
      <c r="AJ5" s="1" t="s">
        <v>1474</v>
      </c>
      <c r="AK5" s="1" t="s">
        <v>1282</v>
      </c>
      <c r="AL5" s="12" t="s">
        <v>13</v>
      </c>
      <c r="AM5" s="28" t="s">
        <v>1052</v>
      </c>
      <c r="AN5" s="28" t="s">
        <v>92</v>
      </c>
      <c r="AO5" s="28" t="s">
        <v>1331</v>
      </c>
      <c r="AP5" s="28" t="s">
        <v>1474</v>
      </c>
      <c r="AQ5" s="28" t="s">
        <v>1282</v>
      </c>
      <c r="AR5" s="28" t="s">
        <v>13</v>
      </c>
      <c r="AS5" s="28" t="s">
        <v>1331</v>
      </c>
      <c r="AT5" s="28" t="s">
        <v>1474</v>
      </c>
      <c r="AU5" s="28" t="s">
        <v>1282</v>
      </c>
      <c r="AV5" s="28" t="s">
        <v>13</v>
      </c>
      <c r="AW5" s="28" t="s">
        <v>92</v>
      </c>
      <c r="AX5" s="28" t="s">
        <v>92</v>
      </c>
      <c r="AY5" s="28" t="s">
        <v>93</v>
      </c>
      <c r="AZ5" s="28" t="s">
        <v>92</v>
      </c>
      <c r="BA5" s="28" t="s">
        <v>93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8" t="s">
        <v>92</v>
      </c>
      <c r="BI5" s="28" t="s">
        <v>92</v>
      </c>
      <c r="BJ5" s="27"/>
      <c r="BK5" s="27" t="s">
        <v>1246</v>
      </c>
      <c r="BL5" s="27" t="s">
        <v>20</v>
      </c>
      <c r="BM5" s="27" t="s">
        <v>20</v>
      </c>
      <c r="BN5" s="27" t="s">
        <v>20</v>
      </c>
      <c r="BO5" s="8" t="s">
        <v>20</v>
      </c>
      <c r="BP5" s="8" t="s">
        <v>20</v>
      </c>
      <c r="BQ5" s="8" t="s">
        <v>886</v>
      </c>
      <c r="BR5" s="8" t="s">
        <v>0</v>
      </c>
      <c r="BS5" s="30" t="s">
        <v>1576</v>
      </c>
      <c r="BT5" s="8" t="s">
        <v>1576</v>
      </c>
      <c r="BU5" s="8" t="s">
        <v>409</v>
      </c>
      <c r="BV5" s="8" t="s">
        <v>1054</v>
      </c>
      <c r="BW5" s="8" t="s">
        <v>21</v>
      </c>
      <c r="BX5" s="8" t="s">
        <v>410</v>
      </c>
      <c r="BY5" s="28" t="s">
        <v>1268</v>
      </c>
      <c r="BZ5" s="28" t="s">
        <v>25</v>
      </c>
      <c r="CA5" s="27"/>
      <c r="CB5" s="27"/>
      <c r="CC5" s="27" t="s">
        <v>1052</v>
      </c>
      <c r="CD5" s="27" t="s">
        <v>22</v>
      </c>
      <c r="CE5" s="27" t="s">
        <v>91</v>
      </c>
      <c r="CF5" s="27" t="s">
        <v>91</v>
      </c>
      <c r="CG5" s="21" t="s">
        <v>465</v>
      </c>
      <c r="CH5" s="21" t="s">
        <v>1110</v>
      </c>
      <c r="CI5" s="28" t="s">
        <v>1290</v>
      </c>
      <c r="CJ5" s="21" t="s">
        <v>1116</v>
      </c>
      <c r="CK5" s="21" t="s">
        <v>1252</v>
      </c>
      <c r="CL5" s="8"/>
      <c r="CM5" s="1"/>
      <c r="CN5" s="1"/>
      <c r="CO5" s="1"/>
      <c r="CP5" s="1"/>
    </row>
    <row r="6" spans="9:94" ht="12.75">
      <c r="I6" s="42"/>
      <c r="J6" s="12"/>
      <c r="N6" s="15"/>
      <c r="O6" s="15"/>
      <c r="P6" s="47"/>
      <c r="Q6" s="42"/>
      <c r="R6" s="42"/>
      <c r="S6" s="42"/>
      <c r="T6" s="43"/>
      <c r="U6" s="45"/>
      <c r="V6" s="45"/>
      <c r="W6" s="36"/>
      <c r="X6" s="36"/>
      <c r="Y6" s="36"/>
      <c r="Z6" s="3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  <c r="AM6" s="28" t="s">
        <v>1055</v>
      </c>
      <c r="AN6" s="28" t="s">
        <v>8</v>
      </c>
      <c r="AO6" s="28"/>
      <c r="AP6" s="28"/>
      <c r="AQ6" s="28"/>
      <c r="AR6" s="28"/>
      <c r="AS6" s="28"/>
      <c r="AT6" s="28"/>
      <c r="AU6" s="28"/>
      <c r="AV6" s="28"/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28" t="s">
        <v>705</v>
      </c>
      <c r="BI6" s="28" t="s">
        <v>705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28"/>
      <c r="BZ6" s="1"/>
      <c r="CA6" s="27"/>
      <c r="CB6" s="27"/>
      <c r="CC6" s="27"/>
      <c r="CD6" s="27"/>
      <c r="CE6" s="27"/>
      <c r="CF6" s="27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15</v>
      </c>
      <c r="J7" s="18">
        <v>35</v>
      </c>
      <c r="K7" s="18">
        <v>9</v>
      </c>
      <c r="L7" s="26">
        <v>10</v>
      </c>
      <c r="M7" s="18">
        <v>11</v>
      </c>
      <c r="N7" s="26">
        <v>12</v>
      </c>
      <c r="O7" s="18">
        <v>13</v>
      </c>
      <c r="P7" s="46">
        <v>14</v>
      </c>
      <c r="Q7" s="18">
        <v>15</v>
      </c>
      <c r="R7" s="26">
        <v>16</v>
      </c>
      <c r="S7" s="26">
        <v>17</v>
      </c>
      <c r="T7" s="26">
        <v>18</v>
      </c>
      <c r="U7" s="18">
        <v>19</v>
      </c>
      <c r="V7" s="26">
        <v>20</v>
      </c>
      <c r="W7" s="18">
        <v>21</v>
      </c>
      <c r="X7" s="26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6">
        <v>28</v>
      </c>
      <c r="AF7" s="18">
        <v>29</v>
      </c>
      <c r="AG7" s="26">
        <v>30</v>
      </c>
      <c r="AH7" s="18">
        <v>31</v>
      </c>
      <c r="AI7" s="26">
        <v>32</v>
      </c>
      <c r="AJ7" s="18">
        <v>33</v>
      </c>
      <c r="AK7" s="26">
        <v>34</v>
      </c>
      <c r="AL7" s="18">
        <v>35</v>
      </c>
      <c r="AM7" s="26">
        <v>36</v>
      </c>
      <c r="AN7" s="18">
        <v>37</v>
      </c>
      <c r="AO7" s="26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6">
        <v>45</v>
      </c>
      <c r="AW7" s="18">
        <v>46</v>
      </c>
      <c r="AX7" s="26">
        <v>47</v>
      </c>
      <c r="AY7" s="18">
        <v>48</v>
      </c>
      <c r="AZ7" s="26">
        <v>49</v>
      </c>
      <c r="BA7" s="18">
        <v>50</v>
      </c>
      <c r="BB7" s="26">
        <v>51</v>
      </c>
      <c r="BC7" s="18">
        <v>52</v>
      </c>
      <c r="BD7" s="26">
        <v>53</v>
      </c>
      <c r="BE7" s="18">
        <v>54</v>
      </c>
      <c r="BF7" s="26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6">
        <v>61</v>
      </c>
      <c r="BM7" s="26">
        <v>62</v>
      </c>
      <c r="BN7" s="26">
        <v>63</v>
      </c>
      <c r="BO7" s="26">
        <v>64</v>
      </c>
      <c r="BP7" s="26">
        <v>65</v>
      </c>
      <c r="BQ7" s="26">
        <v>66</v>
      </c>
      <c r="BR7" s="26">
        <v>67</v>
      </c>
      <c r="BS7" s="26">
        <v>68</v>
      </c>
      <c r="BT7" s="26">
        <v>69</v>
      </c>
      <c r="BU7" s="26">
        <v>70</v>
      </c>
      <c r="BV7" s="26">
        <v>71</v>
      </c>
      <c r="BW7" s="26">
        <v>72</v>
      </c>
      <c r="BX7" s="26">
        <v>73</v>
      </c>
      <c r="BY7" s="26">
        <v>74</v>
      </c>
      <c r="BZ7" s="26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6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1" ht="12.75">
      <c r="A8" s="15"/>
      <c r="E8" s="14"/>
      <c r="F8" s="2"/>
      <c r="G8" s="2"/>
      <c r="J8" s="22"/>
      <c r="M8" s="2"/>
      <c r="W8" s="44"/>
      <c r="X8" s="44"/>
      <c r="AH8" s="22"/>
      <c r="AL8" s="22"/>
      <c r="AM8" s="22"/>
      <c r="BI8" s="6"/>
      <c r="BR8" s="44"/>
      <c r="BS8" s="35"/>
      <c r="BT8" s="35"/>
      <c r="BU8" s="20"/>
      <c r="BV8" s="33"/>
      <c r="BW8" s="33"/>
      <c r="BX8" s="35"/>
      <c r="BY8" s="44"/>
      <c r="BZ8" s="44"/>
      <c r="CM8" s="2"/>
    </row>
    <row r="9" spans="1:91" ht="12.75">
      <c r="A9" s="15">
        <v>1453</v>
      </c>
      <c r="B9" s="14" t="s">
        <v>1117</v>
      </c>
      <c r="C9" s="14" t="s">
        <v>644</v>
      </c>
      <c r="D9" s="14" t="s">
        <v>14</v>
      </c>
      <c r="E9" s="14" t="s">
        <v>10</v>
      </c>
      <c r="F9" s="2" t="s">
        <v>95</v>
      </c>
      <c r="G9" s="2">
        <v>1</v>
      </c>
      <c r="H9" s="2" t="s">
        <v>537</v>
      </c>
      <c r="I9" s="5">
        <v>9</v>
      </c>
      <c r="J9" s="22">
        <v>5.875</v>
      </c>
      <c r="K9" s="2" t="s">
        <v>839</v>
      </c>
      <c r="L9" s="14" t="s">
        <v>415</v>
      </c>
      <c r="M9" s="2" t="s">
        <v>568</v>
      </c>
      <c r="N9" s="14" t="s">
        <v>509</v>
      </c>
      <c r="O9" s="14" t="s">
        <v>897</v>
      </c>
      <c r="P9" s="2" t="s">
        <v>1660</v>
      </c>
      <c r="Q9" s="5">
        <v>9</v>
      </c>
      <c r="W9" s="44">
        <f>Q9*X9</f>
        <v>634.5</v>
      </c>
      <c r="X9" s="44">
        <f>12*Z9</f>
        <v>70.5</v>
      </c>
      <c r="Z9" s="6">
        <f>5+17/20+6/240</f>
        <v>5.875</v>
      </c>
      <c r="AH9" s="22">
        <f>Z9*Q9</f>
        <v>52.875</v>
      </c>
      <c r="AI9">
        <v>5</v>
      </c>
      <c r="AJ9">
        <v>17</v>
      </c>
      <c r="AK9">
        <v>6</v>
      </c>
      <c r="AL9" s="22">
        <f>Z9*1</f>
        <v>5.875</v>
      </c>
      <c r="AM9" s="22"/>
      <c r="AW9" s="22"/>
      <c r="AZ9" s="22"/>
      <c r="BF9" s="22"/>
      <c r="BI9" s="6"/>
      <c r="BR9" s="44"/>
      <c r="BS9" s="35"/>
      <c r="BT9" s="35"/>
      <c r="BU9" s="20"/>
      <c r="BV9" s="33"/>
      <c r="BW9" s="33"/>
      <c r="BX9" s="35"/>
      <c r="BY9" s="44">
        <f aca="true" t="shared" si="0" ref="BY9:BY14">W9+(BQ9*12*Q9)+BV9</f>
        <v>634.5</v>
      </c>
      <c r="BZ9" s="44">
        <f>BY9/Q9</f>
        <v>70.5</v>
      </c>
      <c r="CL9">
        <f aca="true" t="shared" si="1" ref="CL9:CL14">A9*1</f>
        <v>1453</v>
      </c>
      <c r="CM9" s="2" t="s">
        <v>568</v>
      </c>
    </row>
    <row r="10" spans="1:91" ht="12.75">
      <c r="A10" s="15">
        <v>1453</v>
      </c>
      <c r="B10" s="14" t="s">
        <v>1117</v>
      </c>
      <c r="C10" s="14" t="s">
        <v>644</v>
      </c>
      <c r="D10" s="14" t="s">
        <v>14</v>
      </c>
      <c r="E10" s="14" t="s">
        <v>10</v>
      </c>
      <c r="F10" s="2" t="s">
        <v>96</v>
      </c>
      <c r="G10" s="2">
        <v>1</v>
      </c>
      <c r="H10" s="2" t="s">
        <v>537</v>
      </c>
      <c r="I10" s="10">
        <v>5</v>
      </c>
      <c r="J10" s="22">
        <v>6.725</v>
      </c>
      <c r="K10" s="2" t="s">
        <v>838</v>
      </c>
      <c r="L10" s="14" t="s">
        <v>415</v>
      </c>
      <c r="M10" s="2" t="s">
        <v>565</v>
      </c>
      <c r="N10" s="14" t="s">
        <v>509</v>
      </c>
      <c r="O10" s="14" t="s">
        <v>897</v>
      </c>
      <c r="P10" s="2" t="s">
        <v>1660</v>
      </c>
      <c r="Q10" s="10">
        <v>5</v>
      </c>
      <c r="W10" s="44">
        <f>Q10*X10</f>
        <v>403.5</v>
      </c>
      <c r="X10" s="44">
        <f>12*Z10</f>
        <v>80.7</v>
      </c>
      <c r="Z10" s="22">
        <f>6+14/20+6/240</f>
        <v>6.7250000000000005</v>
      </c>
      <c r="AD10" s="44"/>
      <c r="AH10" s="22">
        <f>Z10*Q10</f>
        <v>33.625</v>
      </c>
      <c r="AI10">
        <v>6</v>
      </c>
      <c r="AJ10">
        <v>14</v>
      </c>
      <c r="AK10">
        <v>6</v>
      </c>
      <c r="AL10" s="22">
        <f>Z10*1</f>
        <v>6.7250000000000005</v>
      </c>
      <c r="BI10" s="7"/>
      <c r="BR10" s="33"/>
      <c r="BU10" s="20"/>
      <c r="BY10" s="44">
        <f t="shared" si="0"/>
        <v>403.5</v>
      </c>
      <c r="BZ10" s="44">
        <f>BY10/Q10</f>
        <v>80.7</v>
      </c>
      <c r="CL10">
        <f t="shared" si="1"/>
        <v>1453</v>
      </c>
      <c r="CM10" s="2" t="s">
        <v>565</v>
      </c>
    </row>
    <row r="11" spans="1:91" ht="12.75">
      <c r="A11" s="15">
        <v>1453</v>
      </c>
      <c r="B11" s="14" t="s">
        <v>1117</v>
      </c>
      <c r="C11" s="14" t="s">
        <v>644</v>
      </c>
      <c r="D11" s="14" t="s">
        <v>14</v>
      </c>
      <c r="E11" s="14" t="s">
        <v>10</v>
      </c>
      <c r="F11" s="2" t="s">
        <v>97</v>
      </c>
      <c r="G11" s="2">
        <v>1</v>
      </c>
      <c r="H11" s="2" t="s">
        <v>1652</v>
      </c>
      <c r="I11" s="10">
        <v>4</v>
      </c>
      <c r="J11" s="22">
        <v>3.15</v>
      </c>
      <c r="K11" s="2" t="s">
        <v>860</v>
      </c>
      <c r="L11" s="14" t="s">
        <v>415</v>
      </c>
      <c r="M11" s="2" t="s">
        <v>1656</v>
      </c>
      <c r="N11" s="14" t="s">
        <v>1648</v>
      </c>
      <c r="O11" s="14" t="s">
        <v>897</v>
      </c>
      <c r="P11" s="2" t="s">
        <v>1345</v>
      </c>
      <c r="Q11" s="10">
        <v>4</v>
      </c>
      <c r="W11" s="44">
        <f>Q11*X11</f>
        <v>151.2</v>
      </c>
      <c r="X11" s="44">
        <f>12*Z11</f>
        <v>37.8</v>
      </c>
      <c r="Z11" s="22">
        <f>3+3/20</f>
        <v>3.15</v>
      </c>
      <c r="AD11" s="44"/>
      <c r="AH11" s="22">
        <f>Z11*Q11</f>
        <v>12.6</v>
      </c>
      <c r="AI11">
        <v>3</v>
      </c>
      <c r="AJ11">
        <v>3</v>
      </c>
      <c r="AK11">
        <v>0</v>
      </c>
      <c r="AL11" s="22">
        <f>Z11*1</f>
        <v>3.15</v>
      </c>
      <c r="AY11" s="7"/>
      <c r="BF11" s="7"/>
      <c r="BG11" s="22">
        <v>3.15</v>
      </c>
      <c r="BH11" s="19"/>
      <c r="BI11" s="22">
        <v>3.15</v>
      </c>
      <c r="BR11" s="33"/>
      <c r="BU11" s="20"/>
      <c r="BY11" s="44">
        <f t="shared" si="0"/>
        <v>151.2</v>
      </c>
      <c r="BZ11" s="44">
        <f>BY11/Q11</f>
        <v>37.8</v>
      </c>
      <c r="CL11">
        <f t="shared" si="1"/>
        <v>1453</v>
      </c>
      <c r="CM11" s="2" t="s">
        <v>1656</v>
      </c>
    </row>
    <row r="12" spans="1:92" ht="12.75">
      <c r="A12" s="15">
        <v>1453</v>
      </c>
      <c r="B12" s="14" t="s">
        <v>1117</v>
      </c>
      <c r="C12" s="14" t="s">
        <v>644</v>
      </c>
      <c r="D12" s="14" t="s">
        <v>14</v>
      </c>
      <c r="E12" s="14" t="s">
        <v>10</v>
      </c>
      <c r="F12" s="2" t="s">
        <v>98</v>
      </c>
      <c r="G12" s="2">
        <v>1</v>
      </c>
      <c r="H12" s="2" t="s">
        <v>455</v>
      </c>
      <c r="I12" s="10">
        <v>4</v>
      </c>
      <c r="J12" s="22">
        <v>2.3578125</v>
      </c>
      <c r="K12" s="2" t="s">
        <v>472</v>
      </c>
      <c r="L12" s="14" t="s">
        <v>415</v>
      </c>
      <c r="M12" s="2" t="s">
        <v>458</v>
      </c>
      <c r="N12" s="14" t="s">
        <v>464</v>
      </c>
      <c r="O12" s="14" t="s">
        <v>906</v>
      </c>
      <c r="P12" s="2" t="s">
        <v>1449</v>
      </c>
      <c r="Q12" s="10">
        <v>4</v>
      </c>
      <c r="S12" s="10">
        <v>125.75</v>
      </c>
      <c r="W12" s="44">
        <f>S12*Y12/20</f>
        <v>113.175</v>
      </c>
      <c r="X12" s="44">
        <f>W12/Q12</f>
        <v>28.29375</v>
      </c>
      <c r="Y12" s="22">
        <f>12*AM12</f>
        <v>18</v>
      </c>
      <c r="Z12" s="22">
        <f>X12/12</f>
        <v>2.3578125</v>
      </c>
      <c r="AD12" s="44"/>
      <c r="AE12">
        <v>9</v>
      </c>
      <c r="AF12">
        <v>13</v>
      </c>
      <c r="AG12">
        <v>10</v>
      </c>
      <c r="AH12" s="22">
        <f>AE12+AF12/20+AG12/240</f>
        <v>9.691666666666666</v>
      </c>
      <c r="AI12">
        <v>2</v>
      </c>
      <c r="AJ12">
        <v>8</v>
      </c>
      <c r="AK12">
        <v>6</v>
      </c>
      <c r="AL12" s="22">
        <f>Z12*1</f>
        <v>2.3578125</v>
      </c>
      <c r="AM12" s="22">
        <v>1.5</v>
      </c>
      <c r="BF12" s="22">
        <v>2.3578125</v>
      </c>
      <c r="BI12" s="7"/>
      <c r="BR12" s="33"/>
      <c r="BU12" s="20"/>
      <c r="BY12" s="44">
        <f t="shared" si="0"/>
        <v>113.175</v>
      </c>
      <c r="BZ12" s="44">
        <f>BY12/Q12</f>
        <v>28.29375</v>
      </c>
      <c r="CL12">
        <f t="shared" si="1"/>
        <v>1453</v>
      </c>
      <c r="CM12" s="2" t="s">
        <v>458</v>
      </c>
      <c r="CN12" t="s">
        <v>57</v>
      </c>
    </row>
    <row r="13" spans="1:92" ht="12.75">
      <c r="A13" s="15">
        <v>1453</v>
      </c>
      <c r="B13" s="14" t="s">
        <v>1117</v>
      </c>
      <c r="C13" s="14" t="s">
        <v>644</v>
      </c>
      <c r="D13" s="14" t="s">
        <v>14</v>
      </c>
      <c r="E13" s="14" t="s">
        <v>10</v>
      </c>
      <c r="F13" s="2" t="s">
        <v>99</v>
      </c>
      <c r="G13" s="2">
        <v>1</v>
      </c>
      <c r="H13" s="2" t="s">
        <v>1202</v>
      </c>
      <c r="I13" s="10">
        <v>2</v>
      </c>
      <c r="J13" s="22">
        <v>1.9614583333333335</v>
      </c>
      <c r="K13" s="2" t="s">
        <v>1223</v>
      </c>
      <c r="L13" s="14" t="s">
        <v>415</v>
      </c>
      <c r="M13" s="2" t="s">
        <v>1211</v>
      </c>
      <c r="N13" s="14" t="s">
        <v>1201</v>
      </c>
      <c r="O13" s="14" t="s">
        <v>1349</v>
      </c>
      <c r="P13" s="2" t="s">
        <v>387</v>
      </c>
      <c r="Q13" s="10">
        <v>2</v>
      </c>
      <c r="S13">
        <v>67.25</v>
      </c>
      <c r="W13" s="44">
        <f>S13*Y13/20</f>
        <v>47.075</v>
      </c>
      <c r="X13">
        <f>W13/Q13</f>
        <v>23.5375</v>
      </c>
      <c r="Y13" s="22">
        <f>12*AM13</f>
        <v>14</v>
      </c>
      <c r="Z13" s="22">
        <f>X13/12</f>
        <v>1.9614583333333335</v>
      </c>
      <c r="AD13" s="44"/>
      <c r="AH13" s="22">
        <f>W13/12</f>
        <v>3.922916666666667</v>
      </c>
      <c r="AL13" s="22">
        <f>Z13*1</f>
        <v>1.9614583333333335</v>
      </c>
      <c r="AM13" s="22">
        <f>1+2/12</f>
        <v>1.1666666666666667</v>
      </c>
      <c r="BI13" s="22">
        <v>1.9614583333333335</v>
      </c>
      <c r="BR13" s="33"/>
      <c r="BU13" s="20"/>
      <c r="BY13" s="44">
        <f t="shared" si="0"/>
        <v>47.075</v>
      </c>
      <c r="BZ13" s="44">
        <f>BY13/Q13</f>
        <v>23.5375</v>
      </c>
      <c r="CL13">
        <f t="shared" si="1"/>
        <v>1453</v>
      </c>
      <c r="CM13" s="2" t="s">
        <v>1211</v>
      </c>
      <c r="CN13" t="s">
        <v>1178</v>
      </c>
    </row>
    <row r="14" spans="1:92" ht="12.75">
      <c r="A14" s="15">
        <v>1453</v>
      </c>
      <c r="B14" s="14" t="s">
        <v>1117</v>
      </c>
      <c r="C14" s="14" t="s">
        <v>644</v>
      </c>
      <c r="D14" s="14" t="s">
        <v>14</v>
      </c>
      <c r="E14" s="14" t="s">
        <v>10</v>
      </c>
      <c r="F14" s="2" t="s">
        <v>102</v>
      </c>
      <c r="G14" s="2">
        <v>1</v>
      </c>
      <c r="H14" s="2" t="s">
        <v>1202</v>
      </c>
      <c r="I14" s="10">
        <v>2</v>
      </c>
      <c r="J14" s="22"/>
      <c r="K14" s="2" t="s">
        <v>1224</v>
      </c>
      <c r="L14" s="14" t="s">
        <v>415</v>
      </c>
      <c r="M14" s="2" t="s">
        <v>1213</v>
      </c>
      <c r="N14" s="14" t="s">
        <v>1201</v>
      </c>
      <c r="O14" s="14" t="s">
        <v>1636</v>
      </c>
      <c r="P14" s="2" t="s">
        <v>387</v>
      </c>
      <c r="Q14" s="10">
        <v>2</v>
      </c>
      <c r="S14" s="10">
        <v>68.25</v>
      </c>
      <c r="W14" s="44">
        <f>S14*Y14/20</f>
        <v>47.775</v>
      </c>
      <c r="Y14" s="22">
        <v>14</v>
      </c>
      <c r="AD14" s="44"/>
      <c r="AH14" s="22">
        <f>W14/12</f>
        <v>3.9812499999999997</v>
      </c>
      <c r="AL14" s="22"/>
      <c r="AM14" s="22">
        <v>1.1666666666666667</v>
      </c>
      <c r="BI14" s="22"/>
      <c r="BR14" s="19"/>
      <c r="BU14" s="20"/>
      <c r="BY14" s="44">
        <f t="shared" si="0"/>
        <v>47.775</v>
      </c>
      <c r="BZ14" s="44"/>
      <c r="CL14">
        <f t="shared" si="1"/>
        <v>1453</v>
      </c>
      <c r="CM14" s="2" t="s">
        <v>1213</v>
      </c>
      <c r="CN14" t="s">
        <v>84</v>
      </c>
    </row>
    <row r="15" spans="1:91" ht="12.75">
      <c r="A15" s="18"/>
      <c r="E15" s="14"/>
      <c r="F15" s="32"/>
      <c r="G15" s="2"/>
      <c r="M15" s="2"/>
      <c r="W15" s="44"/>
      <c r="X15" s="44"/>
      <c r="AH15" s="22"/>
      <c r="BU15" s="20"/>
      <c r="BY15" s="44"/>
      <c r="BZ15" s="44"/>
      <c r="CM15" s="2"/>
    </row>
    <row r="16" spans="1:92" ht="12.75">
      <c r="A16" s="15">
        <v>1453</v>
      </c>
      <c r="B16" s="14" t="s">
        <v>1117</v>
      </c>
      <c r="C16" s="14" t="s">
        <v>644</v>
      </c>
      <c r="D16" s="14" t="s">
        <v>14</v>
      </c>
      <c r="E16" s="14" t="s">
        <v>10</v>
      </c>
      <c r="F16" s="2" t="s">
        <v>100</v>
      </c>
      <c r="G16" s="2">
        <v>2</v>
      </c>
      <c r="H16" s="2" t="s">
        <v>1202</v>
      </c>
      <c r="I16" s="10">
        <v>1</v>
      </c>
      <c r="J16" s="22">
        <v>1.8666666666666665</v>
      </c>
      <c r="K16" s="2" t="s">
        <v>1560</v>
      </c>
      <c r="L16" s="14" t="s">
        <v>415</v>
      </c>
      <c r="M16" s="2" t="s">
        <v>1212</v>
      </c>
      <c r="N16" s="14" t="s">
        <v>1201</v>
      </c>
      <c r="O16" s="14" t="s">
        <v>1535</v>
      </c>
      <c r="P16" s="2" t="s">
        <v>387</v>
      </c>
      <c r="Q16" s="10">
        <v>1</v>
      </c>
      <c r="S16" s="5">
        <v>32</v>
      </c>
      <c r="W16" s="44">
        <f>S16*Y16/20</f>
        <v>22.4</v>
      </c>
      <c r="X16" s="44">
        <f>W16/Q16</f>
        <v>22.4</v>
      </c>
      <c r="Y16" s="22">
        <f>12*AM16</f>
        <v>14</v>
      </c>
      <c r="Z16" s="22">
        <f>X16/12</f>
        <v>1.8666666666666665</v>
      </c>
      <c r="AD16" s="44"/>
      <c r="AH16" s="22">
        <f>Z16*Q16</f>
        <v>1.8666666666666665</v>
      </c>
      <c r="AL16" s="22">
        <f>Z16*1</f>
        <v>1.8666666666666665</v>
      </c>
      <c r="AM16" s="22">
        <v>1.1666666666666667</v>
      </c>
      <c r="BI16" s="22">
        <v>1.8666666666666665</v>
      </c>
      <c r="BR16" s="33"/>
      <c r="BU16" s="20"/>
      <c r="BY16" s="44">
        <f>W16+(BQ16*12*Q16)+BV16</f>
        <v>22.4</v>
      </c>
      <c r="BZ16" s="44">
        <f>BY16/Q16</f>
        <v>22.4</v>
      </c>
      <c r="CL16">
        <f aca="true" t="shared" si="2" ref="CL16:CL23">A16*1</f>
        <v>1453</v>
      </c>
      <c r="CM16" s="2" t="s">
        <v>1212</v>
      </c>
      <c r="CN16" t="s">
        <v>1176</v>
      </c>
    </row>
    <row r="17" spans="1:91" ht="12.75">
      <c r="A17" s="15">
        <v>1453</v>
      </c>
      <c r="B17" s="14" t="s">
        <v>1117</v>
      </c>
      <c r="C17" s="14" t="s">
        <v>644</v>
      </c>
      <c r="D17" s="14" t="s">
        <v>14</v>
      </c>
      <c r="E17" s="14" t="s">
        <v>10</v>
      </c>
      <c r="F17" s="2" t="s">
        <v>101</v>
      </c>
      <c r="G17" s="2">
        <v>2</v>
      </c>
      <c r="H17" s="2" t="s">
        <v>1202</v>
      </c>
      <c r="I17" s="10">
        <v>1</v>
      </c>
      <c r="J17" s="22">
        <v>2.1145833333333335</v>
      </c>
      <c r="K17" s="2" t="s">
        <v>1560</v>
      </c>
      <c r="L17" s="14" t="s">
        <v>415</v>
      </c>
      <c r="M17" s="2" t="s">
        <v>1212</v>
      </c>
      <c r="N17" s="14" t="s">
        <v>1201</v>
      </c>
      <c r="O17" s="14" t="s">
        <v>1535</v>
      </c>
      <c r="P17" s="2" t="s">
        <v>387</v>
      </c>
      <c r="Q17" s="10">
        <v>1</v>
      </c>
      <c r="S17">
        <v>36.25</v>
      </c>
      <c r="W17" s="44">
        <f>S17*Y17/20</f>
        <v>25.375</v>
      </c>
      <c r="X17" s="44">
        <f>W17/Q17</f>
        <v>25.375</v>
      </c>
      <c r="Y17" s="22">
        <f>12*AM17</f>
        <v>14</v>
      </c>
      <c r="Z17" s="22">
        <f>X17/12</f>
        <v>2.1145833333333335</v>
      </c>
      <c r="AD17" s="44"/>
      <c r="AH17" s="22">
        <f>Z17*Q17</f>
        <v>2.1145833333333335</v>
      </c>
      <c r="AL17" s="22">
        <f>Z17*1</f>
        <v>2.1145833333333335</v>
      </c>
      <c r="AM17" s="22">
        <v>1.1666666666666667</v>
      </c>
      <c r="BI17" s="22">
        <v>2.1145833333333335</v>
      </c>
      <c r="BR17" s="33"/>
      <c r="BU17" s="20"/>
      <c r="BY17" s="44">
        <f>W17+(BQ17*12*Q17)+BV17</f>
        <v>25.375</v>
      </c>
      <c r="BZ17" s="44">
        <f>BY17/Q17</f>
        <v>25.375</v>
      </c>
      <c r="CL17">
        <f t="shared" si="2"/>
        <v>1453</v>
      </c>
      <c r="CM17" s="2" t="s">
        <v>1212</v>
      </c>
    </row>
    <row r="18" spans="1:91" ht="12.75">
      <c r="A18" s="15">
        <v>1453</v>
      </c>
      <c r="B18" s="14" t="s">
        <v>1117</v>
      </c>
      <c r="C18" s="14" t="s">
        <v>644</v>
      </c>
      <c r="D18" s="14" t="s">
        <v>14</v>
      </c>
      <c r="E18" s="14" t="s">
        <v>10</v>
      </c>
      <c r="F18" s="2" t="s">
        <v>103</v>
      </c>
      <c r="G18" s="2">
        <v>2</v>
      </c>
      <c r="H18" s="2" t="s">
        <v>1202</v>
      </c>
      <c r="I18" s="10">
        <v>2</v>
      </c>
      <c r="J18" s="22">
        <v>2.0625</v>
      </c>
      <c r="K18" s="2" t="s">
        <v>1399</v>
      </c>
      <c r="L18" s="14" t="s">
        <v>415</v>
      </c>
      <c r="M18" s="2" t="s">
        <v>1211</v>
      </c>
      <c r="N18" s="14" t="s">
        <v>1201</v>
      </c>
      <c r="O18" s="14" t="s">
        <v>1349</v>
      </c>
      <c r="P18" s="2" t="s">
        <v>924</v>
      </c>
      <c r="Q18" s="10">
        <v>2</v>
      </c>
      <c r="S18" s="10">
        <v>66</v>
      </c>
      <c r="W18" s="44">
        <f>S18*Y18/20</f>
        <v>49.5</v>
      </c>
      <c r="X18" s="44">
        <f>W18/Q18</f>
        <v>24.75</v>
      </c>
      <c r="Y18" s="22">
        <f>12*AM18</f>
        <v>15</v>
      </c>
      <c r="Z18" s="22">
        <f>X18/12</f>
        <v>2.0625</v>
      </c>
      <c r="AD18" s="44"/>
      <c r="AE18">
        <v>4</v>
      </c>
      <c r="AF18">
        <v>2</v>
      </c>
      <c r="AG18">
        <v>6</v>
      </c>
      <c r="AH18" s="22">
        <f>AE18+AF18/20+AG18/240</f>
        <v>4.125</v>
      </c>
      <c r="AI18">
        <v>2</v>
      </c>
      <c r="AJ18">
        <v>1</v>
      </c>
      <c r="AK18">
        <v>3</v>
      </c>
      <c r="AL18" s="22">
        <f>Z18*1</f>
        <v>2.0625</v>
      </c>
      <c r="AM18" s="22">
        <f>1+3/12</f>
        <v>1.25</v>
      </c>
      <c r="BI18" s="22">
        <v>2.0625</v>
      </c>
      <c r="BR18" s="33"/>
      <c r="BU18" s="20"/>
      <c r="BY18" s="44">
        <f>W18+(BQ18*12*Q18)+BV18</f>
        <v>49.5</v>
      </c>
      <c r="BZ18" s="44">
        <f>BY18/Q18</f>
        <v>24.75</v>
      </c>
      <c r="CL18">
        <f t="shared" si="2"/>
        <v>1453</v>
      </c>
      <c r="CM18" s="2" t="s">
        <v>1211</v>
      </c>
    </row>
    <row r="19" spans="1:92" ht="12.75">
      <c r="A19" s="15">
        <v>1453</v>
      </c>
      <c r="B19" s="14" t="s">
        <v>1117</v>
      </c>
      <c r="C19" s="14" t="s">
        <v>644</v>
      </c>
      <c r="D19" s="14" t="s">
        <v>14</v>
      </c>
      <c r="E19" s="14" t="s">
        <v>10</v>
      </c>
      <c r="F19" s="2" t="s">
        <v>104</v>
      </c>
      <c r="G19" s="2">
        <v>2</v>
      </c>
      <c r="H19" s="2" t="s">
        <v>1202</v>
      </c>
      <c r="I19" s="10">
        <v>2</v>
      </c>
      <c r="J19" s="22">
        <v>1.99375</v>
      </c>
      <c r="K19" s="2" t="s">
        <v>1399</v>
      </c>
      <c r="L19" s="14" t="s">
        <v>415</v>
      </c>
      <c r="M19" s="2" t="s">
        <v>1211</v>
      </c>
      <c r="N19" s="14" t="s">
        <v>1201</v>
      </c>
      <c r="O19" s="14" t="s">
        <v>1349</v>
      </c>
      <c r="P19" s="2" t="s">
        <v>924</v>
      </c>
      <c r="Q19" s="10">
        <v>2</v>
      </c>
      <c r="S19" s="10">
        <v>66</v>
      </c>
      <c r="W19" s="44">
        <f>S19*Y19/20</f>
        <v>47.85</v>
      </c>
      <c r="X19" s="44">
        <f>W19/Q19</f>
        <v>23.925</v>
      </c>
      <c r="Y19" s="22">
        <f>12*AM19</f>
        <v>14.5</v>
      </c>
      <c r="Z19" s="22">
        <f>X19/12</f>
        <v>1.9937500000000001</v>
      </c>
      <c r="AH19" s="22">
        <f>Z19*Q19</f>
        <v>3.9875000000000003</v>
      </c>
      <c r="AL19" s="22">
        <f>Z19*1</f>
        <v>1.9937500000000001</v>
      </c>
      <c r="AM19" s="22">
        <f>1+2.5/12</f>
        <v>1.2083333333333333</v>
      </c>
      <c r="BI19" s="22">
        <v>1.99375</v>
      </c>
      <c r="BR19" s="33"/>
      <c r="BU19" s="20"/>
      <c r="BY19" s="44">
        <f>W19+(BQ19*12*Q19)+BV19</f>
        <v>47.85</v>
      </c>
      <c r="BZ19" s="44">
        <f>BY19/Q19</f>
        <v>23.925</v>
      </c>
      <c r="CL19">
        <f t="shared" si="2"/>
        <v>1453</v>
      </c>
      <c r="CM19" s="2" t="s">
        <v>1211</v>
      </c>
      <c r="CN19" t="s">
        <v>59</v>
      </c>
    </row>
    <row r="20" spans="1:92" ht="12.75">
      <c r="A20" s="15">
        <v>1453</v>
      </c>
      <c r="B20" s="14" t="s">
        <v>1117</v>
      </c>
      <c r="C20" s="14" t="s">
        <v>644</v>
      </c>
      <c r="D20" s="14" t="s">
        <v>14</v>
      </c>
      <c r="E20" s="14" t="s">
        <v>10</v>
      </c>
      <c r="F20" s="2" t="s">
        <v>105</v>
      </c>
      <c r="G20" s="2">
        <v>2</v>
      </c>
      <c r="H20" s="2" t="s">
        <v>537</v>
      </c>
      <c r="J20" s="22"/>
      <c r="K20" s="2" t="s">
        <v>606</v>
      </c>
      <c r="L20" s="14" t="s">
        <v>415</v>
      </c>
      <c r="M20" s="2" t="s">
        <v>779</v>
      </c>
      <c r="N20" s="14" t="s">
        <v>509</v>
      </c>
      <c r="O20" s="14" t="s">
        <v>906</v>
      </c>
      <c r="P20" s="2" t="s">
        <v>5</v>
      </c>
      <c r="W20" s="44"/>
      <c r="X20" s="44"/>
      <c r="Y20" s="22">
        <f>12*AM20</f>
        <v>52</v>
      </c>
      <c r="AH20" s="22"/>
      <c r="AL20" s="22"/>
      <c r="AM20" s="22">
        <f>4+4/12</f>
        <v>4.333333333333333</v>
      </c>
      <c r="BR20" s="33"/>
      <c r="BU20" s="20"/>
      <c r="CL20">
        <f t="shared" si="2"/>
        <v>1453</v>
      </c>
      <c r="CM20" s="2" t="s">
        <v>779</v>
      </c>
      <c r="CN20" t="s">
        <v>1186</v>
      </c>
    </row>
    <row r="21" spans="1:91" ht="12.75">
      <c r="A21" s="15">
        <v>1453</v>
      </c>
      <c r="B21" s="14" t="s">
        <v>1117</v>
      </c>
      <c r="C21" s="14" t="s">
        <v>644</v>
      </c>
      <c r="D21" s="14" t="s">
        <v>14</v>
      </c>
      <c r="E21" s="14" t="s">
        <v>10</v>
      </c>
      <c r="F21" s="2" t="s">
        <v>106</v>
      </c>
      <c r="G21" s="2">
        <v>2</v>
      </c>
      <c r="H21" s="2" t="s">
        <v>537</v>
      </c>
      <c r="I21" s="10">
        <v>30</v>
      </c>
      <c r="J21" s="22">
        <v>3</v>
      </c>
      <c r="K21" s="2" t="s">
        <v>607</v>
      </c>
      <c r="L21" s="14" t="s">
        <v>415</v>
      </c>
      <c r="M21" s="2" t="s">
        <v>540</v>
      </c>
      <c r="N21" s="14" t="s">
        <v>509</v>
      </c>
      <c r="O21" s="14" t="s">
        <v>5</v>
      </c>
      <c r="P21" s="2" t="s">
        <v>1461</v>
      </c>
      <c r="Q21" s="10">
        <v>30</v>
      </c>
      <c r="W21" s="44">
        <f>Q21*X21</f>
        <v>1080</v>
      </c>
      <c r="X21" s="44">
        <f>12*Z21</f>
        <v>36</v>
      </c>
      <c r="Z21" s="22">
        <v>3</v>
      </c>
      <c r="AD21" s="44"/>
      <c r="AH21" s="22">
        <f>Z21*Q21</f>
        <v>90</v>
      </c>
      <c r="AI21">
        <v>3</v>
      </c>
      <c r="AJ21">
        <v>0</v>
      </c>
      <c r="AK21">
        <v>0</v>
      </c>
      <c r="AL21" s="22">
        <f>Z21*1</f>
        <v>3</v>
      </c>
      <c r="AM21" s="22"/>
      <c r="BA21" s="7"/>
      <c r="BE21" s="22">
        <v>3</v>
      </c>
      <c r="BR21" s="33"/>
      <c r="BU21" s="20"/>
      <c r="BY21" s="44">
        <f>W21+(BQ21*12*Q21)+BV21</f>
        <v>1080</v>
      </c>
      <c r="BZ21" s="44">
        <f>BY21/Q21</f>
        <v>36</v>
      </c>
      <c r="CL21">
        <f t="shared" si="2"/>
        <v>1453</v>
      </c>
      <c r="CM21" s="2" t="s">
        <v>540</v>
      </c>
    </row>
    <row r="22" spans="1:92" ht="12.75">
      <c r="A22" s="15">
        <v>1453</v>
      </c>
      <c r="B22" s="14" t="s">
        <v>1117</v>
      </c>
      <c r="C22" s="14" t="s">
        <v>644</v>
      </c>
      <c r="D22" s="14" t="s">
        <v>14</v>
      </c>
      <c r="E22" s="14" t="s">
        <v>10</v>
      </c>
      <c r="F22" s="2" t="s">
        <v>107</v>
      </c>
      <c r="G22" s="2">
        <v>2</v>
      </c>
      <c r="H22" s="2" t="s">
        <v>1202</v>
      </c>
      <c r="I22" s="10">
        <v>1</v>
      </c>
      <c r="J22" s="22">
        <v>2.25</v>
      </c>
      <c r="K22" s="2" t="s">
        <v>1397</v>
      </c>
      <c r="L22" s="14" t="s">
        <v>415</v>
      </c>
      <c r="M22" s="2" t="s">
        <v>1211</v>
      </c>
      <c r="N22" s="14" t="s">
        <v>1201</v>
      </c>
      <c r="O22" s="14" t="s">
        <v>1349</v>
      </c>
      <c r="P22" s="2" t="s">
        <v>925</v>
      </c>
      <c r="Q22" s="10">
        <v>1</v>
      </c>
      <c r="S22" s="10">
        <v>37.25</v>
      </c>
      <c r="W22" s="44">
        <f>12*(2+5/20)</f>
        <v>27</v>
      </c>
      <c r="X22" s="44">
        <f>W22/Q22</f>
        <v>27</v>
      </c>
      <c r="Y22" s="22">
        <v>14.5</v>
      </c>
      <c r="Z22" s="22">
        <f>X22/12</f>
        <v>2.25</v>
      </c>
      <c r="AD22" s="44"/>
      <c r="AE22">
        <v>2</v>
      </c>
      <c r="AF22">
        <v>5</v>
      </c>
      <c r="AG22">
        <v>0</v>
      </c>
      <c r="AH22" s="22">
        <f>AE22+AF22/20+AG22/240</f>
        <v>2.25</v>
      </c>
      <c r="AI22">
        <v>2</v>
      </c>
      <c r="AJ22">
        <v>5</v>
      </c>
      <c r="AK22">
        <v>0</v>
      </c>
      <c r="AL22" s="22">
        <f>Z22*1</f>
        <v>2.25</v>
      </c>
      <c r="AM22" s="22">
        <f>14.5/12</f>
        <v>1.2083333333333333</v>
      </c>
      <c r="BB22" s="7"/>
      <c r="BI22" s="22">
        <v>2.25</v>
      </c>
      <c r="BR22" s="33"/>
      <c r="BU22" s="20"/>
      <c r="BY22" s="44">
        <f>W22+(BQ22*12*Q22)+BV22</f>
        <v>27</v>
      </c>
      <c r="BZ22" s="44">
        <f>BY22/Q22</f>
        <v>27</v>
      </c>
      <c r="CL22">
        <f t="shared" si="2"/>
        <v>1453</v>
      </c>
      <c r="CM22" s="2" t="s">
        <v>1211</v>
      </c>
      <c r="CN22" t="s">
        <v>71</v>
      </c>
    </row>
    <row r="23" spans="1:92" ht="12.75">
      <c r="A23" s="15">
        <v>1453</v>
      </c>
      <c r="B23" s="14" t="s">
        <v>1117</v>
      </c>
      <c r="C23" s="14" t="s">
        <v>644</v>
      </c>
      <c r="D23" s="14" t="s">
        <v>14</v>
      </c>
      <c r="E23" s="14" t="s">
        <v>10</v>
      </c>
      <c r="F23" s="2" t="s">
        <v>108</v>
      </c>
      <c r="G23" s="2">
        <v>2</v>
      </c>
      <c r="H23" s="2" t="s">
        <v>1202</v>
      </c>
      <c r="I23" s="10">
        <v>2</v>
      </c>
      <c r="J23" s="22">
        <v>1.9104166666666667</v>
      </c>
      <c r="K23" s="2" t="s">
        <v>1397</v>
      </c>
      <c r="L23" s="14" t="s">
        <v>415</v>
      </c>
      <c r="M23" s="2" t="s">
        <v>1211</v>
      </c>
      <c r="N23" s="14" t="s">
        <v>1201</v>
      </c>
      <c r="O23" s="14" t="s">
        <v>1349</v>
      </c>
      <c r="P23" s="2" t="s">
        <v>925</v>
      </c>
      <c r="Q23" s="10">
        <v>2</v>
      </c>
      <c r="S23" s="10">
        <v>65</v>
      </c>
      <c r="W23" s="44">
        <f>12*(3+16/20+5/240)</f>
        <v>45.85</v>
      </c>
      <c r="X23" s="44">
        <f>W23/Q23</f>
        <v>22.925</v>
      </c>
      <c r="Y23" s="22">
        <v>14</v>
      </c>
      <c r="Z23" s="22">
        <f>X23/12</f>
        <v>1.9104166666666667</v>
      </c>
      <c r="AD23" s="44"/>
      <c r="AE23">
        <v>3</v>
      </c>
      <c r="AF23">
        <v>16</v>
      </c>
      <c r="AG23">
        <v>0</v>
      </c>
      <c r="AH23" s="22">
        <f>AE23+AF23/20+AG23/240</f>
        <v>3.8</v>
      </c>
      <c r="AI23">
        <v>1</v>
      </c>
      <c r="AJ23">
        <v>18</v>
      </c>
      <c r="AK23">
        <v>2.5</v>
      </c>
      <c r="AL23" s="22">
        <f>Z23*1</f>
        <v>1.9104166666666667</v>
      </c>
      <c r="AM23" s="22">
        <f>14/12</f>
        <v>1.1666666666666667</v>
      </c>
      <c r="BI23" s="22">
        <v>1.9104166666666667</v>
      </c>
      <c r="BR23" s="33"/>
      <c r="BU23" s="20"/>
      <c r="BY23" s="44">
        <f>W23+(BQ23*12*Q23)+BV23</f>
        <v>45.85</v>
      </c>
      <c r="BZ23" s="44">
        <f>BY23/Q23</f>
        <v>22.925</v>
      </c>
      <c r="CL23">
        <f t="shared" si="2"/>
        <v>1453</v>
      </c>
      <c r="CM23" s="2" t="s">
        <v>1211</v>
      </c>
      <c r="CN23" t="s">
        <v>72</v>
      </c>
    </row>
    <row r="24" spans="1:91" ht="12.75">
      <c r="A24" s="18"/>
      <c r="E24" s="14"/>
      <c r="F24" s="32"/>
      <c r="G24" s="2"/>
      <c r="J24" s="22"/>
      <c r="M24" s="2"/>
      <c r="W24" s="44"/>
      <c r="X24" s="44"/>
      <c r="AD24" s="44"/>
      <c r="AL24" s="22"/>
      <c r="AM24" s="22"/>
      <c r="BD24" s="7"/>
      <c r="BR24" s="33"/>
      <c r="BU24" s="20"/>
      <c r="CM24" s="2"/>
    </row>
    <row r="25" spans="1:92" ht="12.75">
      <c r="A25" s="18">
        <v>1453</v>
      </c>
      <c r="B25" s="14" t="s">
        <v>1239</v>
      </c>
      <c r="C25" s="14" t="s">
        <v>644</v>
      </c>
      <c r="D25" s="14" t="s">
        <v>221</v>
      </c>
      <c r="E25" s="14" t="s">
        <v>11</v>
      </c>
      <c r="F25" s="32" t="s">
        <v>109</v>
      </c>
      <c r="G25" s="2"/>
      <c r="H25" s="2" t="s">
        <v>537</v>
      </c>
      <c r="I25" s="10">
        <v>5</v>
      </c>
      <c r="J25" s="22">
        <v>6.725</v>
      </c>
      <c r="K25" s="2" t="s">
        <v>825</v>
      </c>
      <c r="L25" s="14" t="s">
        <v>415</v>
      </c>
      <c r="M25" s="2" t="s">
        <v>588</v>
      </c>
      <c r="N25" s="14" t="s">
        <v>509</v>
      </c>
      <c r="O25" s="14" t="s">
        <v>908</v>
      </c>
      <c r="P25" s="2" t="s">
        <v>1660</v>
      </c>
      <c r="Q25" s="10">
        <v>5</v>
      </c>
      <c r="W25" s="44">
        <f>Q25*X25</f>
        <v>403.5</v>
      </c>
      <c r="X25" s="44">
        <f>12*Z25</f>
        <v>80.7</v>
      </c>
      <c r="Z25" s="22">
        <f>6+14/20+6/240</f>
        <v>6.7250000000000005</v>
      </c>
      <c r="AD25" s="44"/>
      <c r="AH25" s="22">
        <f>Z25*Q25</f>
        <v>33.625</v>
      </c>
      <c r="AI25">
        <v>6</v>
      </c>
      <c r="AJ25">
        <v>14</v>
      </c>
      <c r="AK25">
        <v>6</v>
      </c>
      <c r="AL25" s="22">
        <f>Z25*1</f>
        <v>6.7250000000000005</v>
      </c>
      <c r="AM25" s="22"/>
      <c r="BI25" s="7"/>
      <c r="BR25" s="33"/>
      <c r="BU25" s="20"/>
      <c r="BY25" s="44">
        <f>W25+(BQ25*12*Q25)+BV25</f>
        <v>403.5</v>
      </c>
      <c r="BZ25" s="44">
        <f>BY25/Q25</f>
        <v>80.7</v>
      </c>
      <c r="CL25">
        <f>A25*1</f>
        <v>1453</v>
      </c>
      <c r="CM25" s="2" t="s">
        <v>588</v>
      </c>
      <c r="CN25" t="s">
        <v>69</v>
      </c>
    </row>
    <row r="26" spans="1:91" ht="12.75">
      <c r="A26" s="18">
        <v>1453</v>
      </c>
      <c r="B26" s="14" t="s">
        <v>1239</v>
      </c>
      <c r="C26" s="14" t="s">
        <v>644</v>
      </c>
      <c r="D26" s="14" t="s">
        <v>221</v>
      </c>
      <c r="E26" s="14" t="s">
        <v>11</v>
      </c>
      <c r="F26" s="32" t="s">
        <v>110</v>
      </c>
      <c r="G26" s="2"/>
      <c r="H26" s="2" t="s">
        <v>5</v>
      </c>
      <c r="I26" s="10">
        <v>6</v>
      </c>
      <c r="J26" s="22">
        <v>6.725</v>
      </c>
      <c r="K26" s="2" t="s">
        <v>731</v>
      </c>
      <c r="L26" s="14" t="s">
        <v>415</v>
      </c>
      <c r="M26" s="2" t="s">
        <v>700</v>
      </c>
      <c r="N26" s="14" t="s">
        <v>1511</v>
      </c>
      <c r="O26" s="14" t="s">
        <v>913</v>
      </c>
      <c r="P26" s="2" t="s">
        <v>1660</v>
      </c>
      <c r="Q26" s="10">
        <v>6</v>
      </c>
      <c r="W26" s="44">
        <f>Q26*X26</f>
        <v>484.20000000000005</v>
      </c>
      <c r="X26" s="44">
        <f>12*Z26</f>
        <v>80.7</v>
      </c>
      <c r="Z26" s="22">
        <f>6+14/20+6/240</f>
        <v>6.7250000000000005</v>
      </c>
      <c r="AD26" s="44"/>
      <c r="AH26" s="22">
        <f>Z26*Q26</f>
        <v>40.35</v>
      </c>
      <c r="AI26">
        <v>6</v>
      </c>
      <c r="AJ26">
        <v>14</v>
      </c>
      <c r="AK26">
        <v>6</v>
      </c>
      <c r="AL26" s="22">
        <f>Z26*1</f>
        <v>6.7250000000000005</v>
      </c>
      <c r="AM26" s="22"/>
      <c r="BI26" s="7"/>
      <c r="BR26" s="33"/>
      <c r="BU26" s="20"/>
      <c r="BY26" s="44">
        <f>W26+(BQ26*12*Q26)+BV26</f>
        <v>484.20000000000005</v>
      </c>
      <c r="BZ26" s="44">
        <f>BY26/Q26</f>
        <v>80.7</v>
      </c>
      <c r="CL26">
        <f>A26*1</f>
        <v>1453</v>
      </c>
      <c r="CM26" s="2" t="s">
        <v>700</v>
      </c>
    </row>
    <row r="27" spans="1:91" ht="12.75">
      <c r="A27" s="18"/>
      <c r="E27" s="14"/>
      <c r="F27" s="32"/>
      <c r="G27" s="2"/>
      <c r="J27" s="22"/>
      <c r="M27" s="2"/>
      <c r="W27" s="44"/>
      <c r="X27" s="44"/>
      <c r="AD27" s="44"/>
      <c r="AL27" s="22"/>
      <c r="AM27" s="22"/>
      <c r="BI27" s="7"/>
      <c r="BR27" s="33"/>
      <c r="BU27" s="20"/>
      <c r="CM27" s="2"/>
    </row>
    <row r="28" spans="1:91" ht="12.75">
      <c r="A28" s="18">
        <v>1454</v>
      </c>
      <c r="B28" s="14" t="s">
        <v>1117</v>
      </c>
      <c r="C28" s="14" t="s">
        <v>644</v>
      </c>
      <c r="D28" s="14" t="s">
        <v>221</v>
      </c>
      <c r="E28" s="14" t="s">
        <v>39</v>
      </c>
      <c r="F28" s="32" t="s">
        <v>111</v>
      </c>
      <c r="G28" s="2">
        <v>1</v>
      </c>
      <c r="H28" s="2" t="s">
        <v>5</v>
      </c>
      <c r="I28" s="10">
        <v>10</v>
      </c>
      <c r="J28" s="22">
        <v>7.5</v>
      </c>
      <c r="K28" s="2" t="s">
        <v>1524</v>
      </c>
      <c r="L28" s="14" t="s">
        <v>415</v>
      </c>
      <c r="M28" s="2" t="s">
        <v>744</v>
      </c>
      <c r="N28" s="14" t="s">
        <v>1595</v>
      </c>
      <c r="O28" s="14" t="s">
        <v>1523</v>
      </c>
      <c r="P28" s="2" t="s">
        <v>1660</v>
      </c>
      <c r="Q28" s="10">
        <v>10</v>
      </c>
      <c r="W28" s="44">
        <f aca="true" t="shared" si="3" ref="W28:W35">Q28*X28</f>
        <v>900</v>
      </c>
      <c r="X28" s="44">
        <f aca="true" t="shared" si="4" ref="X28:X35">12*Z28</f>
        <v>90</v>
      </c>
      <c r="Z28" s="22">
        <f>7+10/20</f>
        <v>7.5</v>
      </c>
      <c r="AH28" s="22">
        <f>Z28*Q28</f>
        <v>75</v>
      </c>
      <c r="AI28">
        <v>7</v>
      </c>
      <c r="AJ28">
        <v>10</v>
      </c>
      <c r="AK28">
        <v>0</v>
      </c>
      <c r="AL28" s="22">
        <f aca="true" t="shared" si="5" ref="AL28:AL35">Z28*1</f>
        <v>7.5</v>
      </c>
      <c r="AM28" s="22"/>
      <c r="BR28" s="33"/>
      <c r="BU28" s="20"/>
      <c r="BY28" s="44">
        <f aca="true" t="shared" si="6" ref="BY28:BY35">W28+(BQ28*12*Q28)+BV28</f>
        <v>900</v>
      </c>
      <c r="BZ28" s="44">
        <f aca="true" t="shared" si="7" ref="BZ28:BZ35">BY28/Q28</f>
        <v>90</v>
      </c>
      <c r="CL28">
        <f aca="true" t="shared" si="8" ref="CL28:CL35">A28*1</f>
        <v>1454</v>
      </c>
      <c r="CM28" s="2" t="s">
        <v>744</v>
      </c>
    </row>
    <row r="29" spans="1:91" ht="12.75">
      <c r="A29" s="18">
        <v>1454</v>
      </c>
      <c r="B29" s="14" t="s">
        <v>1117</v>
      </c>
      <c r="C29" s="14" t="s">
        <v>644</v>
      </c>
      <c r="D29" s="14" t="s">
        <v>221</v>
      </c>
      <c r="E29" s="14" t="s">
        <v>39</v>
      </c>
      <c r="F29" s="32" t="s">
        <v>112</v>
      </c>
      <c r="G29" s="2">
        <v>1</v>
      </c>
      <c r="H29" s="2" t="s">
        <v>5</v>
      </c>
      <c r="I29" s="10">
        <v>7</v>
      </c>
      <c r="J29" s="22">
        <v>7.5</v>
      </c>
      <c r="K29" s="2" t="s">
        <v>1524</v>
      </c>
      <c r="L29" s="14" t="s">
        <v>415</v>
      </c>
      <c r="M29" s="2" t="s">
        <v>744</v>
      </c>
      <c r="N29" s="14" t="s">
        <v>1595</v>
      </c>
      <c r="O29" s="14" t="s">
        <v>1523</v>
      </c>
      <c r="P29" s="2" t="s">
        <v>1285</v>
      </c>
      <c r="Q29" s="10">
        <v>7</v>
      </c>
      <c r="W29" s="44">
        <f t="shared" si="3"/>
        <v>630</v>
      </c>
      <c r="X29" s="44">
        <f t="shared" si="4"/>
        <v>90</v>
      </c>
      <c r="Z29" s="22">
        <f>7+10/20</f>
        <v>7.5</v>
      </c>
      <c r="AD29" s="44"/>
      <c r="AH29" s="22">
        <f>Z29*Q29</f>
        <v>52.5</v>
      </c>
      <c r="AI29">
        <v>7</v>
      </c>
      <c r="AJ29">
        <v>10</v>
      </c>
      <c r="AK29">
        <v>0</v>
      </c>
      <c r="AL29" s="22">
        <f t="shared" si="5"/>
        <v>7.5</v>
      </c>
      <c r="AM29" s="22"/>
      <c r="AZ29" s="22">
        <v>7.5</v>
      </c>
      <c r="BF29" s="7"/>
      <c r="BG29" s="19"/>
      <c r="BH29" s="19"/>
      <c r="BI29" s="22">
        <v>7.5</v>
      </c>
      <c r="BR29" s="33"/>
      <c r="BU29" s="20"/>
      <c r="BY29" s="44">
        <f t="shared" si="6"/>
        <v>630</v>
      </c>
      <c r="BZ29" s="44">
        <f t="shared" si="7"/>
        <v>90</v>
      </c>
      <c r="CL29">
        <f t="shared" si="8"/>
        <v>1454</v>
      </c>
      <c r="CM29" s="2" t="s">
        <v>744</v>
      </c>
    </row>
    <row r="30" spans="1:91" ht="12.75">
      <c r="A30" s="18">
        <v>1454</v>
      </c>
      <c r="B30" s="14" t="s">
        <v>1117</v>
      </c>
      <c r="C30" s="14" t="s">
        <v>644</v>
      </c>
      <c r="D30" s="14" t="s">
        <v>221</v>
      </c>
      <c r="E30" s="14" t="s">
        <v>39</v>
      </c>
      <c r="F30" s="32" t="s">
        <v>113</v>
      </c>
      <c r="G30" s="2">
        <v>1</v>
      </c>
      <c r="H30" s="2" t="s">
        <v>5</v>
      </c>
      <c r="I30" s="10">
        <v>10</v>
      </c>
      <c r="J30" s="22">
        <v>7.5</v>
      </c>
      <c r="K30" s="2" t="s">
        <v>1559</v>
      </c>
      <c r="L30" s="14" t="s">
        <v>415</v>
      </c>
      <c r="M30" s="2" t="s">
        <v>1538</v>
      </c>
      <c r="N30" s="14" t="s">
        <v>1595</v>
      </c>
      <c r="O30" s="14" t="s">
        <v>1535</v>
      </c>
      <c r="P30" s="2" t="s">
        <v>1660</v>
      </c>
      <c r="Q30" s="10">
        <v>10</v>
      </c>
      <c r="W30" s="44">
        <f t="shared" si="3"/>
        <v>900</v>
      </c>
      <c r="X30" s="44">
        <f t="shared" si="4"/>
        <v>90</v>
      </c>
      <c r="Z30" s="22">
        <f>7+10/20</f>
        <v>7.5</v>
      </c>
      <c r="AD30" s="44"/>
      <c r="AH30" s="22">
        <f>Z30*Q30</f>
        <v>75</v>
      </c>
      <c r="AI30">
        <v>7</v>
      </c>
      <c r="AJ30">
        <v>10</v>
      </c>
      <c r="AK30">
        <v>0</v>
      </c>
      <c r="AL30" s="22">
        <f t="shared" si="5"/>
        <v>7.5</v>
      </c>
      <c r="AM30" s="22"/>
      <c r="BF30" s="7"/>
      <c r="BG30" s="19"/>
      <c r="BH30" s="19"/>
      <c r="BR30" s="33"/>
      <c r="BU30" s="20"/>
      <c r="BY30" s="44">
        <f t="shared" si="6"/>
        <v>900</v>
      </c>
      <c r="BZ30" s="44">
        <f t="shared" si="7"/>
        <v>90</v>
      </c>
      <c r="CL30">
        <f t="shared" si="8"/>
        <v>1454</v>
      </c>
      <c r="CM30" s="2" t="s">
        <v>1538</v>
      </c>
    </row>
    <row r="31" spans="1:91" ht="12.75">
      <c r="A31" s="18">
        <v>1454</v>
      </c>
      <c r="B31" s="14" t="s">
        <v>1117</v>
      </c>
      <c r="C31" s="14" t="s">
        <v>644</v>
      </c>
      <c r="D31" s="14" t="s">
        <v>221</v>
      </c>
      <c r="E31" s="14" t="s">
        <v>39</v>
      </c>
      <c r="F31" s="32" t="s">
        <v>114</v>
      </c>
      <c r="G31" s="2">
        <v>1</v>
      </c>
      <c r="H31" s="2" t="s">
        <v>5</v>
      </c>
      <c r="I31" s="10">
        <v>7</v>
      </c>
      <c r="J31" s="22">
        <v>4.5</v>
      </c>
      <c r="K31" s="2" t="s">
        <v>1689</v>
      </c>
      <c r="L31" s="14" t="s">
        <v>415</v>
      </c>
      <c r="M31" s="2" t="s">
        <v>1673</v>
      </c>
      <c r="N31" s="14" t="s">
        <v>1595</v>
      </c>
      <c r="O31" s="14" t="s">
        <v>1636</v>
      </c>
      <c r="P31" s="2" t="s">
        <v>1661</v>
      </c>
      <c r="Q31" s="10">
        <v>7</v>
      </c>
      <c r="W31" s="44">
        <f t="shared" si="3"/>
        <v>378</v>
      </c>
      <c r="X31" s="44">
        <f t="shared" si="4"/>
        <v>54</v>
      </c>
      <c r="Z31" s="22">
        <f>4+10/20</f>
        <v>4.5</v>
      </c>
      <c r="AD31" s="44"/>
      <c r="AH31" s="22">
        <f>Z31*Q31</f>
        <v>31.5</v>
      </c>
      <c r="AI31">
        <v>4</v>
      </c>
      <c r="AJ31">
        <v>10</v>
      </c>
      <c r="AK31">
        <v>0</v>
      </c>
      <c r="AL31" s="22">
        <f t="shared" si="5"/>
        <v>4.5</v>
      </c>
      <c r="AM31" s="22"/>
      <c r="BF31" s="7"/>
      <c r="BG31" s="19"/>
      <c r="BH31" s="19"/>
      <c r="BR31" s="33"/>
      <c r="BU31" s="20"/>
      <c r="BY31" s="44">
        <f t="shared" si="6"/>
        <v>378</v>
      </c>
      <c r="BZ31" s="44">
        <f t="shared" si="7"/>
        <v>54</v>
      </c>
      <c r="CL31">
        <f t="shared" si="8"/>
        <v>1454</v>
      </c>
      <c r="CM31" s="2" t="s">
        <v>1673</v>
      </c>
    </row>
    <row r="32" spans="1:91" ht="12.75">
      <c r="A32" s="18">
        <v>1454</v>
      </c>
      <c r="B32" s="14" t="s">
        <v>1117</v>
      </c>
      <c r="C32" s="14" t="s">
        <v>644</v>
      </c>
      <c r="D32" s="14" t="s">
        <v>221</v>
      </c>
      <c r="E32" s="14" t="s">
        <v>39</v>
      </c>
      <c r="F32" s="32" t="s">
        <v>115</v>
      </c>
      <c r="G32" s="2">
        <v>1</v>
      </c>
      <c r="H32" s="2" t="s">
        <v>5</v>
      </c>
      <c r="I32" s="10">
        <v>1</v>
      </c>
      <c r="J32" s="22">
        <v>8</v>
      </c>
      <c r="K32" s="2" t="s">
        <v>878</v>
      </c>
      <c r="L32" s="14" t="s">
        <v>415</v>
      </c>
      <c r="M32" s="2" t="s">
        <v>869</v>
      </c>
      <c r="N32" s="14" t="s">
        <v>1595</v>
      </c>
      <c r="O32" s="14" t="s">
        <v>1636</v>
      </c>
      <c r="P32" s="2" t="s">
        <v>1661</v>
      </c>
      <c r="Q32" s="10">
        <v>1</v>
      </c>
      <c r="W32" s="44">
        <f t="shared" si="3"/>
        <v>96</v>
      </c>
      <c r="X32" s="44">
        <f t="shared" si="4"/>
        <v>96</v>
      </c>
      <c r="Z32" s="22">
        <v>8</v>
      </c>
      <c r="AD32" s="44"/>
      <c r="AE32">
        <v>8</v>
      </c>
      <c r="AF32">
        <v>0</v>
      </c>
      <c r="AG32">
        <v>0</v>
      </c>
      <c r="AH32" s="22">
        <f>AE32+AF32/20+AG32/240</f>
        <v>8</v>
      </c>
      <c r="AI32">
        <v>8</v>
      </c>
      <c r="AJ32">
        <v>0</v>
      </c>
      <c r="AK32">
        <v>0</v>
      </c>
      <c r="AL32" s="22">
        <f t="shared" si="5"/>
        <v>8</v>
      </c>
      <c r="AM32" s="22"/>
      <c r="BF32" s="7"/>
      <c r="BG32" s="19"/>
      <c r="BH32" s="19"/>
      <c r="BR32" s="33"/>
      <c r="BU32" s="20"/>
      <c r="BY32" s="44">
        <f t="shared" si="6"/>
        <v>96</v>
      </c>
      <c r="BZ32" s="44">
        <f t="shared" si="7"/>
        <v>96</v>
      </c>
      <c r="CL32">
        <f t="shared" si="8"/>
        <v>1454</v>
      </c>
      <c r="CM32" s="2" t="s">
        <v>869</v>
      </c>
    </row>
    <row r="33" spans="1:91" ht="12.75">
      <c r="A33" s="18">
        <v>1454</v>
      </c>
      <c r="B33" s="14" t="s">
        <v>1117</v>
      </c>
      <c r="C33" s="14" t="s">
        <v>644</v>
      </c>
      <c r="D33" s="14" t="s">
        <v>221</v>
      </c>
      <c r="E33" s="14" t="s">
        <v>39</v>
      </c>
      <c r="F33" s="32" t="s">
        <v>116</v>
      </c>
      <c r="G33" s="2">
        <v>1</v>
      </c>
      <c r="H33" s="2" t="s">
        <v>5</v>
      </c>
      <c r="I33" s="10">
        <v>4</v>
      </c>
      <c r="J33" s="22">
        <v>3.333333333333333</v>
      </c>
      <c r="K33" s="2" t="s">
        <v>1559</v>
      </c>
      <c r="L33" s="14" t="s">
        <v>415</v>
      </c>
      <c r="M33" s="2" t="s">
        <v>1538</v>
      </c>
      <c r="N33" s="14" t="s">
        <v>1595</v>
      </c>
      <c r="O33" s="14" t="s">
        <v>1535</v>
      </c>
      <c r="P33" s="2" t="s">
        <v>1343</v>
      </c>
      <c r="Q33" s="10">
        <v>4</v>
      </c>
      <c r="W33" s="44">
        <f t="shared" si="3"/>
        <v>160</v>
      </c>
      <c r="X33" s="44">
        <f t="shared" si="4"/>
        <v>40</v>
      </c>
      <c r="Z33" s="22">
        <f>3+6/20+8/240</f>
        <v>3.333333333333333</v>
      </c>
      <c r="AD33" s="44"/>
      <c r="AH33" s="22">
        <f>Z33*Q33</f>
        <v>13.333333333333332</v>
      </c>
      <c r="AI33">
        <v>3</v>
      </c>
      <c r="AJ33">
        <v>6</v>
      </c>
      <c r="AK33">
        <v>8</v>
      </c>
      <c r="AL33" s="22">
        <f t="shared" si="5"/>
        <v>3.333333333333333</v>
      </c>
      <c r="AM33" s="22"/>
      <c r="BF33" s="7"/>
      <c r="BG33" s="19"/>
      <c r="BH33" s="19"/>
      <c r="BI33" s="22">
        <v>3.3333333333333335</v>
      </c>
      <c r="BR33" s="33"/>
      <c r="BU33" s="20"/>
      <c r="BY33" s="44">
        <f t="shared" si="6"/>
        <v>160</v>
      </c>
      <c r="BZ33" s="44">
        <f t="shared" si="7"/>
        <v>40</v>
      </c>
      <c r="CL33">
        <f t="shared" si="8"/>
        <v>1454</v>
      </c>
      <c r="CM33" s="2" t="s">
        <v>1538</v>
      </c>
    </row>
    <row r="34" spans="1:92" ht="12.75">
      <c r="A34" s="18">
        <v>1454</v>
      </c>
      <c r="B34" s="14" t="s">
        <v>1117</v>
      </c>
      <c r="C34" s="14" t="s">
        <v>644</v>
      </c>
      <c r="D34" s="14" t="s">
        <v>221</v>
      </c>
      <c r="E34" s="14" t="s">
        <v>39</v>
      </c>
      <c r="F34" s="32" t="s">
        <v>117</v>
      </c>
      <c r="G34" s="2">
        <v>1</v>
      </c>
      <c r="H34" s="2" t="s">
        <v>5</v>
      </c>
      <c r="I34" s="10">
        <v>7.5</v>
      </c>
      <c r="J34" s="22">
        <v>2.4916666666666667</v>
      </c>
      <c r="K34" s="2" t="s">
        <v>1691</v>
      </c>
      <c r="L34" s="14" t="s">
        <v>415</v>
      </c>
      <c r="M34" s="2" t="s">
        <v>1675</v>
      </c>
      <c r="N34" s="14" t="s">
        <v>1595</v>
      </c>
      <c r="O34" s="14" t="s">
        <v>1668</v>
      </c>
      <c r="P34" s="2" t="s">
        <v>921</v>
      </c>
      <c r="Q34" s="10">
        <v>7.5</v>
      </c>
      <c r="W34" s="44">
        <f t="shared" si="3"/>
        <v>224.25</v>
      </c>
      <c r="X34" s="44">
        <f t="shared" si="4"/>
        <v>29.9</v>
      </c>
      <c r="Z34" s="22">
        <f>2+9/20+10/240</f>
        <v>2.4916666666666667</v>
      </c>
      <c r="AD34" s="44"/>
      <c r="AE34">
        <v>18</v>
      </c>
      <c r="AF34">
        <v>14</v>
      </c>
      <c r="AG34">
        <v>0</v>
      </c>
      <c r="AH34" s="22">
        <f>AE34+AF34/20+AG34/240</f>
        <v>18.7</v>
      </c>
      <c r="AI34">
        <v>2</v>
      </c>
      <c r="AJ34">
        <v>9</v>
      </c>
      <c r="AK34">
        <v>10</v>
      </c>
      <c r="AL34" s="22">
        <f t="shared" si="5"/>
        <v>2.4916666666666667</v>
      </c>
      <c r="AM34" s="22"/>
      <c r="BI34" s="22">
        <v>2.4916666666666667</v>
      </c>
      <c r="BU34" s="20"/>
      <c r="BY34" s="44">
        <f t="shared" si="6"/>
        <v>224.25</v>
      </c>
      <c r="BZ34" s="44">
        <f t="shared" si="7"/>
        <v>29.9</v>
      </c>
      <c r="CL34">
        <f t="shared" si="8"/>
        <v>1454</v>
      </c>
      <c r="CM34" s="2" t="s">
        <v>1675</v>
      </c>
      <c r="CN34" t="s">
        <v>67</v>
      </c>
    </row>
    <row r="35" spans="1:91" ht="12.75">
      <c r="A35" s="18">
        <v>1454</v>
      </c>
      <c r="B35" s="14" t="s">
        <v>1117</v>
      </c>
      <c r="C35" s="14" t="s">
        <v>644</v>
      </c>
      <c r="D35" s="14" t="s">
        <v>221</v>
      </c>
      <c r="E35" s="14" t="s">
        <v>39</v>
      </c>
      <c r="F35" s="32" t="s">
        <v>118</v>
      </c>
      <c r="G35" s="2">
        <v>1</v>
      </c>
      <c r="H35" s="2" t="s">
        <v>537</v>
      </c>
      <c r="I35" s="10">
        <v>4</v>
      </c>
      <c r="J35" s="22">
        <v>2.6</v>
      </c>
      <c r="K35" s="2" t="s">
        <v>1497</v>
      </c>
      <c r="L35" s="14" t="s">
        <v>1414</v>
      </c>
      <c r="M35" s="2" t="s">
        <v>592</v>
      </c>
      <c r="N35" s="14" t="s">
        <v>509</v>
      </c>
      <c r="O35" s="14" t="s">
        <v>5</v>
      </c>
      <c r="P35" s="2" t="s">
        <v>1449</v>
      </c>
      <c r="Q35" s="10">
        <v>4</v>
      </c>
      <c r="W35" s="44">
        <f t="shared" si="3"/>
        <v>124.80000000000001</v>
      </c>
      <c r="X35" s="44">
        <f t="shared" si="4"/>
        <v>31.200000000000003</v>
      </c>
      <c r="Z35" s="22">
        <f>2+12/20</f>
        <v>2.6</v>
      </c>
      <c r="AD35" s="44"/>
      <c r="AH35" s="22">
        <f>Z35*Q35</f>
        <v>10.4</v>
      </c>
      <c r="AI35">
        <v>2</v>
      </c>
      <c r="AJ35">
        <v>12</v>
      </c>
      <c r="AK35">
        <v>0</v>
      </c>
      <c r="AL35" s="22">
        <f t="shared" si="5"/>
        <v>2.6</v>
      </c>
      <c r="AM35" s="22"/>
      <c r="AN35" s="22">
        <v>2.6</v>
      </c>
      <c r="BR35" s="33"/>
      <c r="BU35" s="20"/>
      <c r="BY35" s="44">
        <f t="shared" si="6"/>
        <v>124.80000000000001</v>
      </c>
      <c r="BZ35" s="44">
        <f t="shared" si="7"/>
        <v>31.200000000000003</v>
      </c>
      <c r="CL35">
        <f t="shared" si="8"/>
        <v>1454</v>
      </c>
      <c r="CM35" s="2" t="s">
        <v>592</v>
      </c>
    </row>
    <row r="36" spans="1:91" ht="12.75">
      <c r="A36" s="18"/>
      <c r="E36" s="14"/>
      <c r="F36" s="32"/>
      <c r="G36" s="2"/>
      <c r="J36" s="22"/>
      <c r="M36" s="2"/>
      <c r="W36" s="44"/>
      <c r="X36" s="44"/>
      <c r="AD36" s="44"/>
      <c r="AH36" s="22"/>
      <c r="AL36" s="22"/>
      <c r="AM36" s="22"/>
      <c r="AW36" s="7"/>
      <c r="BR36" s="33"/>
      <c r="BU36" s="20"/>
      <c r="BY36" s="44"/>
      <c r="BZ36" s="44"/>
      <c r="CM36" s="2"/>
    </row>
    <row r="37" spans="1:91" ht="12.75">
      <c r="A37" s="18">
        <v>1454</v>
      </c>
      <c r="B37" s="14" t="s">
        <v>1239</v>
      </c>
      <c r="C37" s="14" t="s">
        <v>644</v>
      </c>
      <c r="D37" s="14" t="s">
        <v>222</v>
      </c>
      <c r="E37" s="14" t="s">
        <v>40</v>
      </c>
      <c r="F37" s="32" t="s">
        <v>119</v>
      </c>
      <c r="G37" s="2"/>
      <c r="H37" s="2" t="s">
        <v>683</v>
      </c>
      <c r="I37" s="10">
        <v>5</v>
      </c>
      <c r="J37" s="22">
        <v>8</v>
      </c>
      <c r="K37" s="2" t="s">
        <v>882</v>
      </c>
      <c r="L37" s="14" t="s">
        <v>415</v>
      </c>
      <c r="M37" s="2" t="s">
        <v>687</v>
      </c>
      <c r="N37" s="14" t="s">
        <v>650</v>
      </c>
      <c r="O37" s="14" t="s">
        <v>453</v>
      </c>
      <c r="P37" s="2" t="s">
        <v>1660</v>
      </c>
      <c r="Q37" s="10">
        <v>5</v>
      </c>
      <c r="W37" s="44">
        <f>Q37*X37</f>
        <v>480</v>
      </c>
      <c r="X37" s="44">
        <f>12*Z37</f>
        <v>96</v>
      </c>
      <c r="Z37" s="22">
        <v>8</v>
      </c>
      <c r="AH37" s="22">
        <f>Z37*Q37</f>
        <v>40</v>
      </c>
      <c r="AI37">
        <v>8</v>
      </c>
      <c r="AJ37">
        <v>0</v>
      </c>
      <c r="AK37">
        <v>0</v>
      </c>
      <c r="AL37" s="22">
        <f>Z37*1</f>
        <v>8</v>
      </c>
      <c r="AM37" s="22"/>
      <c r="BU37" s="20"/>
      <c r="BY37" s="44">
        <f>W37+(BQ37*12*Q37)+BV37</f>
        <v>480</v>
      </c>
      <c r="BZ37" s="44">
        <f>BY37/Q37</f>
        <v>96</v>
      </c>
      <c r="CL37">
        <f>A37*1</f>
        <v>1454</v>
      </c>
      <c r="CM37" s="2" t="s">
        <v>687</v>
      </c>
    </row>
    <row r="38" spans="1:91" ht="12.75">
      <c r="A38" s="18">
        <v>1454</v>
      </c>
      <c r="B38" s="14" t="s">
        <v>1239</v>
      </c>
      <c r="C38" s="14" t="s">
        <v>644</v>
      </c>
      <c r="D38" s="14" t="s">
        <v>222</v>
      </c>
      <c r="E38" s="14" t="s">
        <v>40</v>
      </c>
      <c r="F38" s="32" t="s">
        <v>120</v>
      </c>
      <c r="G38" s="2"/>
      <c r="H38" s="2" t="s">
        <v>537</v>
      </c>
      <c r="I38" s="10">
        <v>6</v>
      </c>
      <c r="J38" s="22">
        <v>7.15</v>
      </c>
      <c r="K38" s="2" t="s">
        <v>850</v>
      </c>
      <c r="L38" s="14" t="s">
        <v>415</v>
      </c>
      <c r="M38" s="2" t="s">
        <v>568</v>
      </c>
      <c r="N38" s="14" t="s">
        <v>509</v>
      </c>
      <c r="O38" s="14" t="s">
        <v>906</v>
      </c>
      <c r="P38" s="2" t="s">
        <v>1660</v>
      </c>
      <c r="Q38" s="10">
        <v>6</v>
      </c>
      <c r="W38" s="44">
        <f>Q38*X38</f>
        <v>514.8000000000001</v>
      </c>
      <c r="X38" s="44">
        <f>12*Z38</f>
        <v>85.80000000000001</v>
      </c>
      <c r="Z38" s="22">
        <f>7+3/20</f>
        <v>7.15</v>
      </c>
      <c r="AD38" s="44"/>
      <c r="AH38" s="22">
        <f>Z38*Q38</f>
        <v>42.900000000000006</v>
      </c>
      <c r="AI38">
        <v>7</v>
      </c>
      <c r="AJ38">
        <v>3</v>
      </c>
      <c r="AK38">
        <v>0</v>
      </c>
      <c r="AL38" s="22">
        <f>Z38*1</f>
        <v>7.15</v>
      </c>
      <c r="AM38" s="22"/>
      <c r="BA38" s="7"/>
      <c r="BR38" s="33"/>
      <c r="BU38" s="20"/>
      <c r="BY38" s="44">
        <f>W38+(BQ38*12*Q38)+BV38</f>
        <v>514.8000000000001</v>
      </c>
      <c r="BZ38" s="44">
        <f>BY38/Q38</f>
        <v>85.80000000000001</v>
      </c>
      <c r="CL38">
        <f>A38*1</f>
        <v>1454</v>
      </c>
      <c r="CM38" s="2" t="s">
        <v>568</v>
      </c>
    </row>
    <row r="39" spans="1:91" ht="12.75">
      <c r="A39" s="18"/>
      <c r="E39" s="14"/>
      <c r="F39" s="32"/>
      <c r="G39" s="2"/>
      <c r="M39" s="2"/>
      <c r="AD39" s="44"/>
      <c r="AM39" s="22"/>
      <c r="BB39" s="7"/>
      <c r="BR39" s="33"/>
      <c r="BU39" s="20"/>
      <c r="CM39" s="2"/>
    </row>
    <row r="40" spans="1:91" ht="12.75">
      <c r="A40" s="18">
        <v>1455</v>
      </c>
      <c r="B40" s="14" t="s">
        <v>1117</v>
      </c>
      <c r="C40" s="14" t="s">
        <v>644</v>
      </c>
      <c r="D40" s="14" t="s">
        <v>222</v>
      </c>
      <c r="E40" s="14" t="s">
        <v>42</v>
      </c>
      <c r="F40" s="32" t="s">
        <v>121</v>
      </c>
      <c r="G40" s="2"/>
      <c r="H40" s="2" t="s">
        <v>603</v>
      </c>
      <c r="I40" s="10">
        <v>10</v>
      </c>
      <c r="J40" s="22">
        <v>7.333333333333333</v>
      </c>
      <c r="K40" s="2" t="s">
        <v>1006</v>
      </c>
      <c r="L40" s="14" t="s">
        <v>415</v>
      </c>
      <c r="M40" s="2" t="s">
        <v>539</v>
      </c>
      <c r="N40" s="14" t="s">
        <v>509</v>
      </c>
      <c r="O40" s="14" t="s">
        <v>897</v>
      </c>
      <c r="P40" s="2" t="s">
        <v>1660</v>
      </c>
      <c r="Q40" s="10">
        <v>10</v>
      </c>
      <c r="W40" s="44">
        <f aca="true" t="shared" si="9" ref="W40:W45">Q40*X40</f>
        <v>880</v>
      </c>
      <c r="X40" s="44">
        <f aca="true" t="shared" si="10" ref="X40:X45">12*Z40</f>
        <v>88</v>
      </c>
      <c r="Z40" s="22">
        <f>7+6/20+8/240</f>
        <v>7.333333333333333</v>
      </c>
      <c r="AD40" s="44"/>
      <c r="AH40" s="22">
        <f>Z40*Q40</f>
        <v>73.33333333333333</v>
      </c>
      <c r="AI40">
        <v>7</v>
      </c>
      <c r="AJ40">
        <v>6</v>
      </c>
      <c r="AK40">
        <v>8</v>
      </c>
      <c r="AL40" s="22">
        <f aca="true" t="shared" si="11" ref="AL40:AL45">Z40*1</f>
        <v>7.333333333333333</v>
      </c>
      <c r="AM40" s="22"/>
      <c r="AY40" s="7"/>
      <c r="BR40" s="33"/>
      <c r="BU40" s="20"/>
      <c r="BY40" s="44">
        <f aca="true" t="shared" si="12" ref="BY40:BY48">W40+(BQ40*12*Q40)+BV40</f>
        <v>880</v>
      </c>
      <c r="BZ40" s="44">
        <f aca="true" t="shared" si="13" ref="BZ40:BZ45">BY40/Q40</f>
        <v>88</v>
      </c>
      <c r="CL40">
        <f aca="true" t="shared" si="14" ref="CL40:CL48">A40*1</f>
        <v>1455</v>
      </c>
      <c r="CM40" s="2" t="s">
        <v>539</v>
      </c>
    </row>
    <row r="41" spans="1:91" ht="12.75">
      <c r="A41" s="18">
        <v>1455</v>
      </c>
      <c r="B41" s="14" t="s">
        <v>1117</v>
      </c>
      <c r="C41" s="14" t="s">
        <v>644</v>
      </c>
      <c r="D41" s="14" t="s">
        <v>222</v>
      </c>
      <c r="E41" s="14" t="s">
        <v>42</v>
      </c>
      <c r="F41" s="32" t="s">
        <v>122</v>
      </c>
      <c r="G41" s="2"/>
      <c r="H41" s="2" t="s">
        <v>603</v>
      </c>
      <c r="I41" s="10">
        <v>7</v>
      </c>
      <c r="J41" s="22">
        <v>7.333333333333333</v>
      </c>
      <c r="K41" s="2" t="s">
        <v>1006</v>
      </c>
      <c r="L41" s="14" t="s">
        <v>415</v>
      </c>
      <c r="M41" s="2" t="s">
        <v>539</v>
      </c>
      <c r="N41" s="14" t="s">
        <v>509</v>
      </c>
      <c r="O41" s="14" t="s">
        <v>897</v>
      </c>
      <c r="P41" s="2" t="s">
        <v>1286</v>
      </c>
      <c r="Q41" s="10">
        <v>7</v>
      </c>
      <c r="W41" s="44">
        <f t="shared" si="9"/>
        <v>616</v>
      </c>
      <c r="X41" s="44">
        <f t="shared" si="10"/>
        <v>88</v>
      </c>
      <c r="Z41" s="22">
        <f>7+6/20+8/240</f>
        <v>7.333333333333333</v>
      </c>
      <c r="AD41" s="44"/>
      <c r="AH41" s="22">
        <f>Z41*Q41</f>
        <v>51.33333333333333</v>
      </c>
      <c r="AI41">
        <v>7</v>
      </c>
      <c r="AJ41">
        <v>6</v>
      </c>
      <c r="AK41">
        <v>8</v>
      </c>
      <c r="AL41" s="22">
        <f t="shared" si="11"/>
        <v>7.333333333333333</v>
      </c>
      <c r="AM41" s="22"/>
      <c r="AZ41" s="22">
        <v>7.333333333333333</v>
      </c>
      <c r="BD41" s="7"/>
      <c r="BI41" s="22">
        <v>7.333333333333333</v>
      </c>
      <c r="BR41" s="33"/>
      <c r="BU41" s="20"/>
      <c r="BY41" s="44">
        <f t="shared" si="12"/>
        <v>616</v>
      </c>
      <c r="BZ41" s="44">
        <f t="shared" si="13"/>
        <v>88</v>
      </c>
      <c r="CL41">
        <f t="shared" si="14"/>
        <v>1455</v>
      </c>
      <c r="CM41" s="2" t="s">
        <v>539</v>
      </c>
    </row>
    <row r="42" spans="1:92" ht="12.75">
      <c r="A42" s="18">
        <v>1455</v>
      </c>
      <c r="B42" s="14" t="s">
        <v>1117</v>
      </c>
      <c r="C42" s="14" t="s">
        <v>644</v>
      </c>
      <c r="D42" s="14" t="s">
        <v>222</v>
      </c>
      <c r="E42" s="14" t="s">
        <v>42</v>
      </c>
      <c r="F42" s="32" t="s">
        <v>123</v>
      </c>
      <c r="G42" s="2"/>
      <c r="H42" s="2" t="s">
        <v>537</v>
      </c>
      <c r="I42" s="10">
        <v>16.5</v>
      </c>
      <c r="J42" s="22">
        <v>7.75</v>
      </c>
      <c r="K42" s="2" t="s">
        <v>484</v>
      </c>
      <c r="L42" s="14" t="s">
        <v>415</v>
      </c>
      <c r="M42" s="2" t="s">
        <v>543</v>
      </c>
      <c r="N42" s="14" t="s">
        <v>509</v>
      </c>
      <c r="O42" s="14" t="s">
        <v>416</v>
      </c>
      <c r="P42" s="2" t="s">
        <v>1660</v>
      </c>
      <c r="Q42" s="10">
        <v>16.5</v>
      </c>
      <c r="W42" s="44">
        <f t="shared" si="9"/>
        <v>1534.5</v>
      </c>
      <c r="X42" s="44">
        <f t="shared" si="10"/>
        <v>93</v>
      </c>
      <c r="Z42" s="22">
        <f>7+15/20</f>
        <v>7.75</v>
      </c>
      <c r="AD42" s="44"/>
      <c r="AH42" s="22">
        <f>Z42*Q42</f>
        <v>127.875</v>
      </c>
      <c r="AI42">
        <v>7</v>
      </c>
      <c r="AJ42">
        <v>15</v>
      </c>
      <c r="AK42">
        <v>0</v>
      </c>
      <c r="AL42" s="22">
        <f t="shared" si="11"/>
        <v>7.75</v>
      </c>
      <c r="AM42" s="22"/>
      <c r="BI42" s="7"/>
      <c r="BR42" s="33"/>
      <c r="BU42" s="20"/>
      <c r="BY42" s="44">
        <f t="shared" si="12"/>
        <v>1534.5</v>
      </c>
      <c r="BZ42" s="44">
        <f t="shared" si="13"/>
        <v>93</v>
      </c>
      <c r="CL42">
        <f t="shared" si="14"/>
        <v>1455</v>
      </c>
      <c r="CM42" s="2" t="s">
        <v>543</v>
      </c>
      <c r="CN42" t="s">
        <v>1175</v>
      </c>
    </row>
    <row r="43" spans="1:91" ht="12.75">
      <c r="A43" s="18">
        <v>1455</v>
      </c>
      <c r="B43" s="14" t="s">
        <v>1117</v>
      </c>
      <c r="C43" s="14" t="s">
        <v>644</v>
      </c>
      <c r="D43" s="14" t="s">
        <v>222</v>
      </c>
      <c r="E43" s="14" t="s">
        <v>42</v>
      </c>
      <c r="F43" s="32" t="s">
        <v>124</v>
      </c>
      <c r="G43" s="2"/>
      <c r="H43" s="2" t="s">
        <v>5</v>
      </c>
      <c r="I43" s="10">
        <v>7</v>
      </c>
      <c r="J43" s="22">
        <v>3.8</v>
      </c>
      <c r="K43" s="2" t="s">
        <v>1689</v>
      </c>
      <c r="L43" s="14" t="s">
        <v>415</v>
      </c>
      <c r="M43" s="2" t="s">
        <v>1673</v>
      </c>
      <c r="N43" s="14" t="s">
        <v>1595</v>
      </c>
      <c r="O43" s="14" t="s">
        <v>1636</v>
      </c>
      <c r="P43" s="2" t="s">
        <v>1609</v>
      </c>
      <c r="Q43" s="10">
        <v>7</v>
      </c>
      <c r="W43" s="44">
        <f t="shared" si="9"/>
        <v>319.19999999999993</v>
      </c>
      <c r="X43" s="44">
        <f t="shared" si="10"/>
        <v>45.599999999999994</v>
      </c>
      <c r="Z43" s="22">
        <f>3+16/20</f>
        <v>3.8</v>
      </c>
      <c r="AD43" s="44"/>
      <c r="AH43" s="22">
        <f>Z43*Q43</f>
        <v>26.599999999999998</v>
      </c>
      <c r="AI43">
        <v>3</v>
      </c>
      <c r="AJ43">
        <v>16</v>
      </c>
      <c r="AK43">
        <v>0</v>
      </c>
      <c r="AL43" s="22">
        <f t="shared" si="11"/>
        <v>3.8</v>
      </c>
      <c r="AM43" s="22"/>
      <c r="BI43" s="7"/>
      <c r="BR43" s="33"/>
      <c r="BU43" s="20"/>
      <c r="BY43" s="44">
        <f t="shared" si="12"/>
        <v>319.19999999999993</v>
      </c>
      <c r="BZ43" s="44">
        <f t="shared" si="13"/>
        <v>45.59999999999999</v>
      </c>
      <c r="CL43">
        <f t="shared" si="14"/>
        <v>1455</v>
      </c>
      <c r="CM43" s="2" t="s">
        <v>1673</v>
      </c>
    </row>
    <row r="44" spans="1:91" ht="12.75">
      <c r="A44" s="18">
        <v>1455</v>
      </c>
      <c r="B44" s="14" t="s">
        <v>1117</v>
      </c>
      <c r="C44" s="14" t="s">
        <v>644</v>
      </c>
      <c r="D44" s="14" t="s">
        <v>222</v>
      </c>
      <c r="E44" s="14" t="s">
        <v>42</v>
      </c>
      <c r="F44" s="32" t="s">
        <v>125</v>
      </c>
      <c r="G44" s="2"/>
      <c r="H44" s="2" t="s">
        <v>537</v>
      </c>
      <c r="I44" s="10">
        <v>1</v>
      </c>
      <c r="J44" s="22">
        <v>8</v>
      </c>
      <c r="K44" s="2" t="s">
        <v>814</v>
      </c>
      <c r="L44" s="14" t="s">
        <v>415</v>
      </c>
      <c r="M44" s="2" t="s">
        <v>577</v>
      </c>
      <c r="N44" s="14" t="s">
        <v>509</v>
      </c>
      <c r="O44" s="14" t="s">
        <v>1636</v>
      </c>
      <c r="P44" s="2" t="s">
        <v>1610</v>
      </c>
      <c r="Q44" s="10">
        <v>1</v>
      </c>
      <c r="W44" s="44">
        <f t="shared" si="9"/>
        <v>96</v>
      </c>
      <c r="X44" s="44">
        <f t="shared" si="10"/>
        <v>96</v>
      </c>
      <c r="Z44" s="22">
        <v>8</v>
      </c>
      <c r="AD44" s="44"/>
      <c r="AE44">
        <v>8</v>
      </c>
      <c r="AF44">
        <v>0</v>
      </c>
      <c r="AG44">
        <v>0</v>
      </c>
      <c r="AH44" s="22">
        <f>AE44+AF44/20+AG44/240</f>
        <v>8</v>
      </c>
      <c r="AI44">
        <v>8</v>
      </c>
      <c r="AJ44">
        <v>0</v>
      </c>
      <c r="AK44">
        <v>0</v>
      </c>
      <c r="AL44" s="22">
        <f t="shared" si="11"/>
        <v>8</v>
      </c>
      <c r="AM44" s="22"/>
      <c r="BI44" s="7"/>
      <c r="BR44" s="33"/>
      <c r="BU44" s="20"/>
      <c r="BY44" s="44">
        <f t="shared" si="12"/>
        <v>96</v>
      </c>
      <c r="BZ44" s="44">
        <f t="shared" si="13"/>
        <v>96</v>
      </c>
      <c r="CL44">
        <f t="shared" si="14"/>
        <v>1455</v>
      </c>
      <c r="CM44" s="2" t="s">
        <v>577</v>
      </c>
    </row>
    <row r="45" spans="1:91" ht="12.75">
      <c r="A45" s="18">
        <v>1455</v>
      </c>
      <c r="B45" s="14" t="s">
        <v>1117</v>
      </c>
      <c r="C45" s="14" t="s">
        <v>644</v>
      </c>
      <c r="D45" s="14" t="s">
        <v>222</v>
      </c>
      <c r="E45" s="14" t="s">
        <v>42</v>
      </c>
      <c r="F45" s="32" t="s">
        <v>126</v>
      </c>
      <c r="G45" s="2"/>
      <c r="H45" s="2" t="s">
        <v>1652</v>
      </c>
      <c r="I45" s="10">
        <v>4</v>
      </c>
      <c r="J45" s="22">
        <v>3.4</v>
      </c>
      <c r="K45" s="2" t="s">
        <v>1009</v>
      </c>
      <c r="L45" s="14" t="s">
        <v>415</v>
      </c>
      <c r="M45" s="2" t="s">
        <v>1657</v>
      </c>
      <c r="N45" s="14" t="s">
        <v>1648</v>
      </c>
      <c r="O45" s="14" t="s">
        <v>897</v>
      </c>
      <c r="P45" s="2" t="s">
        <v>1341</v>
      </c>
      <c r="Q45" s="10">
        <v>4</v>
      </c>
      <c r="W45" s="44">
        <f t="shared" si="9"/>
        <v>163.2</v>
      </c>
      <c r="X45" s="44">
        <f t="shared" si="10"/>
        <v>40.8</v>
      </c>
      <c r="Z45" s="22">
        <f>3+8/20</f>
        <v>3.4</v>
      </c>
      <c r="AD45" s="44"/>
      <c r="AH45" s="22">
        <f>Z45*Q45</f>
        <v>13.6</v>
      </c>
      <c r="AI45">
        <v>3</v>
      </c>
      <c r="AJ45">
        <v>8</v>
      </c>
      <c r="AK45">
        <v>0</v>
      </c>
      <c r="AL45" s="22">
        <f t="shared" si="11"/>
        <v>3.4</v>
      </c>
      <c r="AM45" s="22"/>
      <c r="BI45" s="22">
        <v>3.4</v>
      </c>
      <c r="BR45" s="33"/>
      <c r="BU45" s="20"/>
      <c r="BY45" s="44">
        <f t="shared" si="12"/>
        <v>163.2</v>
      </c>
      <c r="BZ45" s="44">
        <f t="shared" si="13"/>
        <v>40.8</v>
      </c>
      <c r="CL45">
        <f t="shared" si="14"/>
        <v>1455</v>
      </c>
      <c r="CM45" s="2" t="s">
        <v>1657</v>
      </c>
    </row>
    <row r="46" spans="1:92" ht="12.75">
      <c r="A46" s="18">
        <v>1455</v>
      </c>
      <c r="B46" s="14" t="s">
        <v>1117</v>
      </c>
      <c r="C46" s="14" t="s">
        <v>644</v>
      </c>
      <c r="D46" s="14" t="s">
        <v>222</v>
      </c>
      <c r="E46" s="14" t="s">
        <v>42</v>
      </c>
      <c r="F46" s="32" t="s">
        <v>127</v>
      </c>
      <c r="G46" s="2"/>
      <c r="H46" s="2" t="s">
        <v>1216</v>
      </c>
      <c r="J46" s="22"/>
      <c r="K46" s="2" t="s">
        <v>788</v>
      </c>
      <c r="L46" s="14" t="s">
        <v>415</v>
      </c>
      <c r="M46" s="2" t="s">
        <v>787</v>
      </c>
      <c r="N46" s="14" t="s">
        <v>1226</v>
      </c>
      <c r="O46" s="14" t="s">
        <v>1269</v>
      </c>
      <c r="P46" s="2" t="s">
        <v>1449</v>
      </c>
      <c r="R46" s="10">
        <v>26.5</v>
      </c>
      <c r="W46" s="44">
        <f>R46*Y46/20</f>
        <v>37.1</v>
      </c>
      <c r="X46" s="44"/>
      <c r="Y46" s="22">
        <f>12*(2+4/12)</f>
        <v>28</v>
      </c>
      <c r="AH46" s="22">
        <f>W46/12</f>
        <v>3.091666666666667</v>
      </c>
      <c r="AL46" s="22"/>
      <c r="AM46" s="22">
        <f>Y46/12</f>
        <v>2.3333333333333335</v>
      </c>
      <c r="BU46" s="20"/>
      <c r="BY46" s="44">
        <f t="shared" si="12"/>
        <v>37.1</v>
      </c>
      <c r="BZ46" s="44"/>
      <c r="CL46">
        <f t="shared" si="14"/>
        <v>1455</v>
      </c>
      <c r="CM46" s="2" t="s">
        <v>787</v>
      </c>
      <c r="CN46" t="s">
        <v>1</v>
      </c>
    </row>
    <row r="47" spans="1:92" ht="12.75">
      <c r="A47" s="18">
        <v>1455</v>
      </c>
      <c r="B47" s="14" t="s">
        <v>1117</v>
      </c>
      <c r="C47" s="14" t="s">
        <v>644</v>
      </c>
      <c r="D47" s="14" t="s">
        <v>222</v>
      </c>
      <c r="E47" s="14" t="s">
        <v>42</v>
      </c>
      <c r="F47" s="32" t="s">
        <v>128</v>
      </c>
      <c r="G47" s="2"/>
      <c r="H47" s="2" t="s">
        <v>1216</v>
      </c>
      <c r="I47" s="10">
        <v>4</v>
      </c>
      <c r="J47" s="22">
        <v>3.6875</v>
      </c>
      <c r="K47" s="2" t="s">
        <v>1293</v>
      </c>
      <c r="L47" s="14" t="s">
        <v>415</v>
      </c>
      <c r="M47" s="2" t="s">
        <v>1219</v>
      </c>
      <c r="N47" s="14" t="s">
        <v>1226</v>
      </c>
      <c r="O47" s="14" t="s">
        <v>1269</v>
      </c>
      <c r="P47" s="2" t="s">
        <v>1449</v>
      </c>
      <c r="Q47" s="10">
        <v>4</v>
      </c>
      <c r="W47" s="44">
        <f>Q47*X47</f>
        <v>177</v>
      </c>
      <c r="X47" s="44">
        <f>12*Z47</f>
        <v>44.25</v>
      </c>
      <c r="Z47" s="22">
        <f>3+13/20+9/240</f>
        <v>3.6875</v>
      </c>
      <c r="AD47" s="44"/>
      <c r="AE47">
        <v>14</v>
      </c>
      <c r="AF47">
        <v>15</v>
      </c>
      <c r="AG47">
        <v>2</v>
      </c>
      <c r="AH47" s="22">
        <f>AE47+AF47/20+AG47/240</f>
        <v>14.758333333333333</v>
      </c>
      <c r="AI47">
        <v>3</v>
      </c>
      <c r="AJ47">
        <v>13</v>
      </c>
      <c r="AK47">
        <v>9</v>
      </c>
      <c r="AL47" s="22">
        <f>Z47*1</f>
        <v>3.6875</v>
      </c>
      <c r="AM47" s="22"/>
      <c r="BE47" s="7"/>
      <c r="BF47" s="22">
        <v>3.6875</v>
      </c>
      <c r="BR47" s="33"/>
      <c r="BU47" s="20"/>
      <c r="BY47" s="44">
        <f t="shared" si="12"/>
        <v>177</v>
      </c>
      <c r="BZ47" s="44">
        <f>BY47/Q47</f>
        <v>44.25</v>
      </c>
      <c r="CL47">
        <f t="shared" si="14"/>
        <v>1455</v>
      </c>
      <c r="CM47" s="2" t="s">
        <v>1219</v>
      </c>
      <c r="CN47" t="s">
        <v>68</v>
      </c>
    </row>
    <row r="48" spans="1:92" ht="12.75">
      <c r="A48" s="18">
        <v>1455</v>
      </c>
      <c r="B48" s="14" t="s">
        <v>1117</v>
      </c>
      <c r="C48" s="14" t="s">
        <v>644</v>
      </c>
      <c r="D48" s="14" t="s">
        <v>222</v>
      </c>
      <c r="E48" s="14" t="s">
        <v>42</v>
      </c>
      <c r="F48" s="32" t="s">
        <v>129</v>
      </c>
      <c r="G48" s="2"/>
      <c r="H48" s="2" t="s">
        <v>5</v>
      </c>
      <c r="I48" s="10">
        <v>7</v>
      </c>
      <c r="J48" s="22">
        <v>2.5416666666666665</v>
      </c>
      <c r="K48" s="2" t="s">
        <v>488</v>
      </c>
      <c r="L48" s="14" t="s">
        <v>415</v>
      </c>
      <c r="M48" s="2" t="s">
        <v>497</v>
      </c>
      <c r="N48" s="14" t="s">
        <v>1595</v>
      </c>
      <c r="O48" s="14" t="s">
        <v>416</v>
      </c>
      <c r="P48" s="2" t="s">
        <v>916</v>
      </c>
      <c r="Q48" s="10">
        <v>7</v>
      </c>
      <c r="W48" s="44">
        <f>Q48*X48</f>
        <v>213.5</v>
      </c>
      <c r="X48" s="44">
        <f>12*Z48</f>
        <v>30.5</v>
      </c>
      <c r="Z48" s="22">
        <f>2+10/20+10/240</f>
        <v>2.5416666666666665</v>
      </c>
      <c r="AD48" s="44"/>
      <c r="AE48">
        <v>17</v>
      </c>
      <c r="AF48">
        <v>16</v>
      </c>
      <c r="AG48">
        <v>2</v>
      </c>
      <c r="AH48" s="22">
        <f>AE48+AF48/20+AG48/240</f>
        <v>17.808333333333334</v>
      </c>
      <c r="AI48">
        <v>2</v>
      </c>
      <c r="AJ48">
        <v>10</v>
      </c>
      <c r="AK48">
        <v>10</v>
      </c>
      <c r="AL48" s="22">
        <f>Z48*1</f>
        <v>2.5416666666666665</v>
      </c>
      <c r="AM48" s="22"/>
      <c r="BI48" s="22">
        <v>2.5416666666666665</v>
      </c>
      <c r="BR48" s="33"/>
      <c r="BU48" s="20"/>
      <c r="BY48" s="44">
        <f t="shared" si="12"/>
        <v>213.5</v>
      </c>
      <c r="BZ48" s="44">
        <f>BY48/Q48</f>
        <v>30.5</v>
      </c>
      <c r="CL48">
        <f t="shared" si="14"/>
        <v>1455</v>
      </c>
      <c r="CM48" s="2" t="s">
        <v>497</v>
      </c>
      <c r="CN48" t="s">
        <v>65</v>
      </c>
    </row>
    <row r="49" spans="1:91" ht="12.75">
      <c r="A49" s="18"/>
      <c r="E49" s="14"/>
      <c r="F49" s="32"/>
      <c r="G49" s="2"/>
      <c r="M49" s="2"/>
      <c r="AD49" s="44"/>
      <c r="AH49" s="22"/>
      <c r="AM49" s="22"/>
      <c r="BI49" s="7"/>
      <c r="BR49" s="33"/>
      <c r="BU49" s="20"/>
      <c r="CM49" s="2"/>
    </row>
    <row r="50" spans="1:91" ht="12.75">
      <c r="A50" s="18">
        <v>1455</v>
      </c>
      <c r="B50" s="14" t="s">
        <v>1239</v>
      </c>
      <c r="C50" s="14" t="s">
        <v>644</v>
      </c>
      <c r="D50" s="14" t="s">
        <v>223</v>
      </c>
      <c r="E50" s="14" t="s">
        <v>11</v>
      </c>
      <c r="F50" s="32" t="s">
        <v>130</v>
      </c>
      <c r="G50" s="2"/>
      <c r="H50" s="2" t="s">
        <v>537</v>
      </c>
      <c r="I50" s="10">
        <v>5</v>
      </c>
      <c r="J50" s="22">
        <v>6.75</v>
      </c>
      <c r="K50" s="2" t="s">
        <v>849</v>
      </c>
      <c r="L50" s="14" t="s">
        <v>415</v>
      </c>
      <c r="M50" s="2" t="s">
        <v>568</v>
      </c>
      <c r="N50" s="14" t="s">
        <v>509</v>
      </c>
      <c r="O50" s="14" t="s">
        <v>906</v>
      </c>
      <c r="P50" s="2" t="s">
        <v>1660</v>
      </c>
      <c r="Q50" s="10">
        <v>5</v>
      </c>
      <c r="W50" s="44">
        <f>Q50*X50</f>
        <v>405</v>
      </c>
      <c r="X50" s="44">
        <f>12*Z50</f>
        <v>81</v>
      </c>
      <c r="Z50" s="22">
        <f>6+15/20</f>
        <v>6.75</v>
      </c>
      <c r="AD50" s="44"/>
      <c r="AH50" s="22">
        <f>Z50*Q50</f>
        <v>33.75</v>
      </c>
      <c r="AI50">
        <v>6</v>
      </c>
      <c r="AJ50">
        <v>15</v>
      </c>
      <c r="AK50">
        <v>0</v>
      </c>
      <c r="AL50" s="22">
        <f>Z50*1</f>
        <v>6.75</v>
      </c>
      <c r="AM50" s="22"/>
      <c r="AN50" s="34"/>
      <c r="AO50" s="34"/>
      <c r="AP50" s="34"/>
      <c r="AQ50" s="34"/>
      <c r="AR50" s="34"/>
      <c r="AS50" s="34"/>
      <c r="AT50" s="34"/>
      <c r="AU50" s="34"/>
      <c r="AV50" s="34"/>
      <c r="BR50" s="33"/>
      <c r="BU50" s="20"/>
      <c r="BY50" s="44">
        <f>W50+(BQ50*12*Q50)+BV50</f>
        <v>405</v>
      </c>
      <c r="BZ50" s="44">
        <f>BY50/Q50</f>
        <v>81</v>
      </c>
      <c r="CL50">
        <f>A50*1</f>
        <v>1455</v>
      </c>
      <c r="CM50" s="2" t="s">
        <v>568</v>
      </c>
    </row>
    <row r="51" spans="1:92" ht="12.75">
      <c r="A51" s="18">
        <v>1455</v>
      </c>
      <c r="B51" s="14" t="s">
        <v>1239</v>
      </c>
      <c r="C51" s="14" t="s">
        <v>644</v>
      </c>
      <c r="D51" s="14" t="s">
        <v>223</v>
      </c>
      <c r="E51" s="14" t="s">
        <v>11</v>
      </c>
      <c r="F51" s="32" t="s">
        <v>131</v>
      </c>
      <c r="G51" s="2"/>
      <c r="H51" s="2" t="s">
        <v>537</v>
      </c>
      <c r="I51" s="10">
        <v>5</v>
      </c>
      <c r="J51" s="22">
        <v>6.8</v>
      </c>
      <c r="K51" s="2" t="s">
        <v>849</v>
      </c>
      <c r="L51" s="14" t="s">
        <v>415</v>
      </c>
      <c r="M51" s="2" t="s">
        <v>568</v>
      </c>
      <c r="N51" s="14" t="s">
        <v>509</v>
      </c>
      <c r="O51" s="14" t="s">
        <v>906</v>
      </c>
      <c r="P51" s="2" t="s">
        <v>1660</v>
      </c>
      <c r="Q51" s="10">
        <v>5</v>
      </c>
      <c r="W51" s="44">
        <f>Q51*X51</f>
        <v>408</v>
      </c>
      <c r="X51" s="44">
        <f>12*Z51</f>
        <v>81.6</v>
      </c>
      <c r="Z51" s="22">
        <f>6+16/20</f>
        <v>6.8</v>
      </c>
      <c r="AD51" s="44"/>
      <c r="AH51" s="22">
        <f>Z51*Q51</f>
        <v>34</v>
      </c>
      <c r="AI51">
        <v>6</v>
      </c>
      <c r="AJ51">
        <v>16</v>
      </c>
      <c r="AK51">
        <v>0</v>
      </c>
      <c r="AL51" s="22">
        <f>Z51*1</f>
        <v>6.8</v>
      </c>
      <c r="AM51" s="22"/>
      <c r="AN51" s="34"/>
      <c r="AO51" s="34"/>
      <c r="AP51" s="34"/>
      <c r="AQ51" s="34"/>
      <c r="AR51" s="34"/>
      <c r="AS51" s="34"/>
      <c r="AT51" s="34"/>
      <c r="AU51" s="34"/>
      <c r="AV51" s="34"/>
      <c r="BF51" s="7"/>
      <c r="BG51" s="19"/>
      <c r="BH51" s="19"/>
      <c r="BR51" s="33"/>
      <c r="BU51" s="20"/>
      <c r="BY51" s="44">
        <f>W51+(BQ51*12*Q51)+BV51</f>
        <v>408</v>
      </c>
      <c r="BZ51" s="44">
        <f>BY51/Q51</f>
        <v>81.6</v>
      </c>
      <c r="CL51">
        <f>A51*1</f>
        <v>1455</v>
      </c>
      <c r="CM51" s="2" t="s">
        <v>568</v>
      </c>
      <c r="CN51" t="s">
        <v>1194</v>
      </c>
    </row>
    <row r="52" spans="1:91" ht="12.75">
      <c r="A52" s="18">
        <v>1455</v>
      </c>
      <c r="B52" s="14" t="s">
        <v>1239</v>
      </c>
      <c r="C52" s="14" t="s">
        <v>644</v>
      </c>
      <c r="D52" s="14" t="s">
        <v>223</v>
      </c>
      <c r="E52" s="14" t="s">
        <v>11</v>
      </c>
      <c r="F52" s="32" t="s">
        <v>132</v>
      </c>
      <c r="G52" s="2"/>
      <c r="H52" s="2" t="s">
        <v>537</v>
      </c>
      <c r="I52" s="10">
        <v>5</v>
      </c>
      <c r="J52" s="22">
        <v>6.825</v>
      </c>
      <c r="K52" s="2" t="s">
        <v>849</v>
      </c>
      <c r="L52" s="14" t="s">
        <v>415</v>
      </c>
      <c r="M52" s="2" t="s">
        <v>568</v>
      </c>
      <c r="N52" s="14" t="s">
        <v>509</v>
      </c>
      <c r="O52" s="14" t="s">
        <v>906</v>
      </c>
      <c r="P52" s="2" t="s">
        <v>1660</v>
      </c>
      <c r="Q52" s="10">
        <v>5</v>
      </c>
      <c r="W52" s="44">
        <f>Q52*X52</f>
        <v>409.5</v>
      </c>
      <c r="X52" s="44">
        <f>12*Z52</f>
        <v>81.9</v>
      </c>
      <c r="Z52" s="22">
        <f>6+16/20+6/240</f>
        <v>6.825</v>
      </c>
      <c r="AD52" s="44"/>
      <c r="AH52" s="22">
        <f>Z52*Q52</f>
        <v>34.125</v>
      </c>
      <c r="AI52">
        <v>6</v>
      </c>
      <c r="AJ52">
        <v>16</v>
      </c>
      <c r="AK52">
        <v>6</v>
      </c>
      <c r="AL52" s="22">
        <f>Z52*1</f>
        <v>6.825</v>
      </c>
      <c r="AM52" s="22"/>
      <c r="AN52" s="34"/>
      <c r="AO52" s="34"/>
      <c r="AP52" s="34"/>
      <c r="AQ52" s="34"/>
      <c r="AR52" s="34"/>
      <c r="AS52" s="34"/>
      <c r="AT52" s="34"/>
      <c r="AU52" s="34"/>
      <c r="AV52" s="34"/>
      <c r="BF52" s="7"/>
      <c r="BG52" s="19"/>
      <c r="BH52" s="19"/>
      <c r="BR52" s="33"/>
      <c r="BU52" s="20"/>
      <c r="BY52" s="44">
        <f>W52+(BQ52*12*Q52)+BV52</f>
        <v>409.5</v>
      </c>
      <c r="BZ52" s="44">
        <f>BY52/Q52</f>
        <v>81.9</v>
      </c>
      <c r="CL52">
        <f>A52*1</f>
        <v>1455</v>
      </c>
      <c r="CM52" s="2" t="s">
        <v>568</v>
      </c>
    </row>
    <row r="53" spans="1:91" ht="12.75">
      <c r="A53" s="18">
        <v>1455</v>
      </c>
      <c r="B53" s="14" t="s">
        <v>1239</v>
      </c>
      <c r="C53" s="14" t="s">
        <v>644</v>
      </c>
      <c r="D53" s="14" t="s">
        <v>223</v>
      </c>
      <c r="E53" s="14" t="s">
        <v>11</v>
      </c>
      <c r="F53" s="32" t="s">
        <v>133</v>
      </c>
      <c r="G53" s="2"/>
      <c r="H53" s="2" t="s">
        <v>537</v>
      </c>
      <c r="I53" s="10">
        <v>5</v>
      </c>
      <c r="J53" s="22">
        <v>6.5</v>
      </c>
      <c r="K53" s="2" t="s">
        <v>849</v>
      </c>
      <c r="L53" s="14" t="s">
        <v>415</v>
      </c>
      <c r="M53" s="2" t="s">
        <v>568</v>
      </c>
      <c r="N53" s="14" t="s">
        <v>509</v>
      </c>
      <c r="O53" s="14" t="s">
        <v>906</v>
      </c>
      <c r="P53" s="2" t="s">
        <v>1660</v>
      </c>
      <c r="Q53" s="10">
        <v>5</v>
      </c>
      <c r="W53" s="44">
        <f>Q53*X53</f>
        <v>390</v>
      </c>
      <c r="X53" s="44">
        <f>12*Z53</f>
        <v>78</v>
      </c>
      <c r="Z53" s="22">
        <f>6+10/20</f>
        <v>6.5</v>
      </c>
      <c r="AD53" s="44"/>
      <c r="AH53" s="22">
        <f>Z53*Q53</f>
        <v>32.5</v>
      </c>
      <c r="AI53">
        <v>6</v>
      </c>
      <c r="AJ53">
        <v>10</v>
      </c>
      <c r="AK53">
        <v>0</v>
      </c>
      <c r="AL53" s="22">
        <f>Z53*1</f>
        <v>6.5</v>
      </c>
      <c r="AM53" s="22"/>
      <c r="AN53" s="34"/>
      <c r="AO53" s="34"/>
      <c r="AP53" s="34"/>
      <c r="AQ53" s="34"/>
      <c r="AR53" s="34"/>
      <c r="AS53" s="34"/>
      <c r="AT53" s="34"/>
      <c r="AU53" s="34"/>
      <c r="AV53" s="34"/>
      <c r="BF53" s="7"/>
      <c r="BG53" s="19"/>
      <c r="BH53" s="19"/>
      <c r="BR53" s="33"/>
      <c r="BU53" s="20"/>
      <c r="BY53" s="44">
        <f>W53+(BQ53*12*Q53)+BV53</f>
        <v>390</v>
      </c>
      <c r="BZ53" s="44">
        <f>BY53/Q53</f>
        <v>78</v>
      </c>
      <c r="CL53">
        <f>A53*1</f>
        <v>1455</v>
      </c>
      <c r="CM53" s="2" t="s">
        <v>568</v>
      </c>
    </row>
    <row r="54" spans="24:91" ht="12.75">
      <c r="X54" s="44"/>
      <c r="AD54" s="44"/>
      <c r="AM54" s="22"/>
      <c r="BU54" s="20"/>
      <c r="CM54" s="17"/>
    </row>
    <row r="55" spans="1:91" ht="12.75">
      <c r="A55" s="18">
        <v>1456</v>
      </c>
      <c r="B55" s="14" t="s">
        <v>1117</v>
      </c>
      <c r="C55" s="14" t="s">
        <v>644</v>
      </c>
      <c r="D55" s="14" t="s">
        <v>223</v>
      </c>
      <c r="E55" s="14" t="s">
        <v>39</v>
      </c>
      <c r="F55" s="32" t="s">
        <v>134</v>
      </c>
      <c r="G55" s="2">
        <v>1</v>
      </c>
      <c r="H55" s="2" t="s">
        <v>537</v>
      </c>
      <c r="I55" s="10">
        <v>10</v>
      </c>
      <c r="J55" s="22">
        <v>7.6</v>
      </c>
      <c r="K55" s="2" t="s">
        <v>881</v>
      </c>
      <c r="L55" s="14" t="s">
        <v>415</v>
      </c>
      <c r="M55" s="2" t="s">
        <v>548</v>
      </c>
      <c r="N55" s="14" t="s">
        <v>509</v>
      </c>
      <c r="O55" s="14" t="s">
        <v>453</v>
      </c>
      <c r="P55" s="2" t="s">
        <v>1660</v>
      </c>
      <c r="Q55" s="10">
        <v>10</v>
      </c>
      <c r="W55" s="44">
        <f>Q55*X55</f>
        <v>911.9999999999999</v>
      </c>
      <c r="X55" s="44">
        <f>12*Z55</f>
        <v>91.19999999999999</v>
      </c>
      <c r="Z55" s="22">
        <f>7+12/20</f>
        <v>7.6</v>
      </c>
      <c r="AD55" s="44"/>
      <c r="AH55" s="22">
        <f>Z55*Q55</f>
        <v>76</v>
      </c>
      <c r="AI55">
        <v>7</v>
      </c>
      <c r="AJ55">
        <v>12</v>
      </c>
      <c r="AK55">
        <v>0</v>
      </c>
      <c r="AL55" s="22">
        <f>Z55*1</f>
        <v>7.6</v>
      </c>
      <c r="AM55" s="22"/>
      <c r="BA55" s="7"/>
      <c r="BR55" s="33"/>
      <c r="BU55" s="20"/>
      <c r="BY55" s="44">
        <f>W55+(BQ55*12*Q55)+BV55</f>
        <v>911.9999999999999</v>
      </c>
      <c r="BZ55" s="44">
        <f>BY55/Q55</f>
        <v>91.19999999999999</v>
      </c>
      <c r="CL55">
        <f>A55*1</f>
        <v>1456</v>
      </c>
      <c r="CM55" s="2" t="s">
        <v>548</v>
      </c>
    </row>
    <row r="56" spans="1:91" ht="12.75">
      <c r="A56" s="18">
        <v>1456</v>
      </c>
      <c r="B56" s="14" t="s">
        <v>1117</v>
      </c>
      <c r="C56" s="14" t="s">
        <v>644</v>
      </c>
      <c r="D56" s="14" t="s">
        <v>223</v>
      </c>
      <c r="E56" s="14" t="s">
        <v>39</v>
      </c>
      <c r="F56" s="32" t="s">
        <v>135</v>
      </c>
      <c r="G56" s="2">
        <v>1</v>
      </c>
      <c r="H56" s="2" t="s">
        <v>537</v>
      </c>
      <c r="I56" s="10">
        <v>7</v>
      </c>
      <c r="J56" s="22">
        <v>7.6</v>
      </c>
      <c r="K56" s="2" t="s">
        <v>881</v>
      </c>
      <c r="L56" s="14" t="s">
        <v>415</v>
      </c>
      <c r="M56" s="2" t="s">
        <v>548</v>
      </c>
      <c r="N56" s="14" t="s">
        <v>509</v>
      </c>
      <c r="O56" s="14" t="s">
        <v>453</v>
      </c>
      <c r="P56" s="2" t="s">
        <v>652</v>
      </c>
      <c r="Q56" s="10">
        <v>7</v>
      </c>
      <c r="W56" s="44">
        <f>Q56*X56</f>
        <v>638.3999999999999</v>
      </c>
      <c r="X56" s="44">
        <f>12*Z56</f>
        <v>91.19999999999999</v>
      </c>
      <c r="Z56" s="22">
        <f>7+12/20</f>
        <v>7.6</v>
      </c>
      <c r="AD56" s="44"/>
      <c r="AH56" s="22">
        <f>Z56*Q56</f>
        <v>53.199999999999996</v>
      </c>
      <c r="AI56">
        <v>7</v>
      </c>
      <c r="AJ56">
        <v>12</v>
      </c>
      <c r="AK56">
        <v>0</v>
      </c>
      <c r="AL56" s="22">
        <f>Z56*1</f>
        <v>7.6</v>
      </c>
      <c r="AM56" s="22"/>
      <c r="AZ56" s="22">
        <v>7.6</v>
      </c>
      <c r="BB56" s="7"/>
      <c r="BI56" s="22">
        <v>7.6</v>
      </c>
      <c r="BR56" s="33"/>
      <c r="BU56" s="20"/>
      <c r="BY56" s="44">
        <f>W56+(BQ56*12*Q56)+BV56</f>
        <v>638.3999999999999</v>
      </c>
      <c r="BZ56" s="44">
        <f>BY56/Q56</f>
        <v>91.19999999999997</v>
      </c>
      <c r="CL56">
        <f>A56*1</f>
        <v>1456</v>
      </c>
      <c r="CM56" s="2" t="s">
        <v>548</v>
      </c>
    </row>
    <row r="57" spans="1:92" ht="12.75">
      <c r="A57" s="18">
        <v>1456</v>
      </c>
      <c r="B57" s="14" t="s">
        <v>1117</v>
      </c>
      <c r="C57" s="14" t="s">
        <v>644</v>
      </c>
      <c r="D57" s="14" t="s">
        <v>223</v>
      </c>
      <c r="E57" s="14" t="s">
        <v>39</v>
      </c>
      <c r="F57" s="32" t="s">
        <v>136</v>
      </c>
      <c r="G57" s="2">
        <v>1</v>
      </c>
      <c r="H57" s="2" t="s">
        <v>537</v>
      </c>
      <c r="I57" s="10">
        <v>10</v>
      </c>
      <c r="J57" s="22">
        <v>7</v>
      </c>
      <c r="K57" s="2" t="s">
        <v>815</v>
      </c>
      <c r="L57" s="14" t="s">
        <v>415</v>
      </c>
      <c r="M57" s="2" t="s">
        <v>552</v>
      </c>
      <c r="N57" s="14" t="s">
        <v>509</v>
      </c>
      <c r="O57" s="14" t="s">
        <v>416</v>
      </c>
      <c r="P57" s="2" t="s">
        <v>1660</v>
      </c>
      <c r="Q57" s="10">
        <v>10</v>
      </c>
      <c r="W57" s="44">
        <f>Q57*X57</f>
        <v>840</v>
      </c>
      <c r="X57" s="44">
        <f>12*Z57</f>
        <v>84</v>
      </c>
      <c r="Z57" s="22">
        <v>7</v>
      </c>
      <c r="AD57" s="44"/>
      <c r="AH57" s="22">
        <f>Z57*Q57</f>
        <v>70</v>
      </c>
      <c r="AI57">
        <v>7</v>
      </c>
      <c r="AJ57">
        <v>0</v>
      </c>
      <c r="AK57">
        <v>0</v>
      </c>
      <c r="AL57" s="22">
        <f>Z57*1</f>
        <v>7</v>
      </c>
      <c r="AM57" s="22"/>
      <c r="BI57" s="7"/>
      <c r="BN57" s="22">
        <f>14/20</f>
        <v>0.7</v>
      </c>
      <c r="BO57" s="22">
        <f>(19/20+8/240)/Q57</f>
        <v>0.09833333333333333</v>
      </c>
      <c r="BP57" s="22">
        <f>(12/20+8/240)/Q57</f>
        <v>0.06333333333333332</v>
      </c>
      <c r="BQ57" s="22">
        <f>BN57+BO57+BP57</f>
        <v>0.8616666666666667</v>
      </c>
      <c r="BR57" s="34">
        <f>Z57+BQ57</f>
        <v>7.861666666666666</v>
      </c>
      <c r="BS57" s="37">
        <f>BN57/BR57</f>
        <v>0.08903964384142463</v>
      </c>
      <c r="BT57" s="37">
        <f>(BO57+BP57)/BR57</f>
        <v>0.020563917744329023</v>
      </c>
      <c r="BU57" s="20">
        <f>BQ57/BR57</f>
        <v>0.10960356158575367</v>
      </c>
      <c r="BY57" s="44">
        <f>W57+(BQ57*12*Q57)+BV57</f>
        <v>943.4</v>
      </c>
      <c r="BZ57" s="44">
        <f>BY57/Q57</f>
        <v>94.34</v>
      </c>
      <c r="CL57">
        <f>A57*1</f>
        <v>1456</v>
      </c>
      <c r="CM57" s="2" t="s">
        <v>552</v>
      </c>
      <c r="CN57" t="s">
        <v>54</v>
      </c>
    </row>
    <row r="58" spans="1:91" ht="12.75">
      <c r="A58" s="18">
        <v>1456</v>
      </c>
      <c r="B58" s="14" t="s">
        <v>1117</v>
      </c>
      <c r="C58" s="14" t="s">
        <v>644</v>
      </c>
      <c r="D58" s="14" t="s">
        <v>223</v>
      </c>
      <c r="E58" s="14" t="s">
        <v>39</v>
      </c>
      <c r="F58" s="32" t="s">
        <v>137</v>
      </c>
      <c r="G58" s="2">
        <v>1</v>
      </c>
      <c r="H58" s="2" t="s">
        <v>5</v>
      </c>
      <c r="I58" s="10">
        <v>7</v>
      </c>
      <c r="J58" s="22">
        <v>4</v>
      </c>
      <c r="K58" s="2" t="s">
        <v>878</v>
      </c>
      <c r="L58" s="14" t="s">
        <v>415</v>
      </c>
      <c r="M58" s="2" t="s">
        <v>869</v>
      </c>
      <c r="N58" s="14" t="s">
        <v>509</v>
      </c>
      <c r="O58" s="14" t="s">
        <v>1636</v>
      </c>
      <c r="P58" s="2" t="s">
        <v>1660</v>
      </c>
      <c r="Q58" s="10">
        <v>7</v>
      </c>
      <c r="W58" s="44">
        <f>Q58*X58</f>
        <v>336</v>
      </c>
      <c r="X58" s="44">
        <f>12*Z58</f>
        <v>48</v>
      </c>
      <c r="Z58" s="22">
        <v>4</v>
      </c>
      <c r="AD58" s="44"/>
      <c r="AH58" s="22">
        <f>Z58*Q58</f>
        <v>28</v>
      </c>
      <c r="AI58">
        <v>4</v>
      </c>
      <c r="AJ58">
        <v>0</v>
      </c>
      <c r="AK58">
        <v>0</v>
      </c>
      <c r="AL58" s="22">
        <f>Z58*1</f>
        <v>4</v>
      </c>
      <c r="AM58" s="22"/>
      <c r="BD58" s="7"/>
      <c r="BR58" s="33"/>
      <c r="BU58" s="20"/>
      <c r="BY58" s="44">
        <f>W58+(BQ58*12*Q58)+BV58</f>
        <v>336</v>
      </c>
      <c r="BZ58" s="44">
        <f>BY58/Q58</f>
        <v>48</v>
      </c>
      <c r="CL58">
        <f>A58*1</f>
        <v>1456</v>
      </c>
      <c r="CM58" s="2" t="s">
        <v>869</v>
      </c>
    </row>
    <row r="59" spans="1:91" ht="12.75">
      <c r="A59" s="18">
        <v>1456</v>
      </c>
      <c r="B59" s="14" t="s">
        <v>1117</v>
      </c>
      <c r="C59" s="14" t="s">
        <v>644</v>
      </c>
      <c r="D59" s="14" t="s">
        <v>223</v>
      </c>
      <c r="E59" s="14" t="s">
        <v>39</v>
      </c>
      <c r="F59" s="32" t="s">
        <v>138</v>
      </c>
      <c r="G59" s="2">
        <v>1</v>
      </c>
      <c r="H59" s="2" t="s">
        <v>537</v>
      </c>
      <c r="I59" s="10">
        <v>1</v>
      </c>
      <c r="J59" s="22">
        <v>8</v>
      </c>
      <c r="K59" s="2" t="s">
        <v>875</v>
      </c>
      <c r="L59" s="14" t="s">
        <v>415</v>
      </c>
      <c r="M59" s="2" t="s">
        <v>577</v>
      </c>
      <c r="N59" s="14" t="s">
        <v>509</v>
      </c>
      <c r="O59" s="14" t="s">
        <v>1636</v>
      </c>
      <c r="P59" s="2" t="s">
        <v>1660</v>
      </c>
      <c r="Q59" s="10">
        <v>1</v>
      </c>
      <c r="W59" s="44">
        <f>Q59*X59</f>
        <v>96</v>
      </c>
      <c r="X59" s="44">
        <f>12*Z59</f>
        <v>96</v>
      </c>
      <c r="Z59" s="22">
        <v>8</v>
      </c>
      <c r="AD59" s="44"/>
      <c r="AE59">
        <v>8</v>
      </c>
      <c r="AF59">
        <v>0</v>
      </c>
      <c r="AG59">
        <v>0</v>
      </c>
      <c r="AH59" s="22">
        <f>AE59+AF59/20+AG59/240</f>
        <v>8</v>
      </c>
      <c r="AI59">
        <v>8</v>
      </c>
      <c r="AJ59">
        <v>0</v>
      </c>
      <c r="AK59">
        <v>0</v>
      </c>
      <c r="AL59" s="22">
        <f>Z59*1</f>
        <v>8</v>
      </c>
      <c r="AM59" s="22"/>
      <c r="BI59" s="7"/>
      <c r="BR59" s="33"/>
      <c r="BU59" s="20"/>
      <c r="BY59" s="44">
        <f>W59+(BQ59*12*Q59)+BV59</f>
        <v>96</v>
      </c>
      <c r="BZ59" s="44">
        <f>BY59/Q59</f>
        <v>96</v>
      </c>
      <c r="CL59">
        <f>A59*1</f>
        <v>1456</v>
      </c>
      <c r="CM59" s="2" t="s">
        <v>577</v>
      </c>
    </row>
    <row r="60" spans="1:91" ht="12.75">
      <c r="A60" s="18"/>
      <c r="E60" s="14"/>
      <c r="F60" s="32"/>
      <c r="G60" s="2"/>
      <c r="M60" s="2"/>
      <c r="AD60" s="44"/>
      <c r="AH60" s="22"/>
      <c r="AM60" s="22"/>
      <c r="BI60" s="7"/>
      <c r="BR60" s="33"/>
      <c r="BU60" s="20"/>
      <c r="BY60" s="44"/>
      <c r="BZ60" s="44"/>
      <c r="CM60" s="2"/>
    </row>
    <row r="61" spans="1:92" ht="12.75">
      <c r="A61" s="18">
        <v>1456</v>
      </c>
      <c r="B61" s="14" t="s">
        <v>1117</v>
      </c>
      <c r="C61" s="14" t="s">
        <v>644</v>
      </c>
      <c r="D61" s="14" t="s">
        <v>223</v>
      </c>
      <c r="E61" s="14" t="s">
        <v>39</v>
      </c>
      <c r="F61" s="32" t="s">
        <v>139</v>
      </c>
      <c r="G61" s="2">
        <v>2</v>
      </c>
      <c r="H61" t="s">
        <v>1098</v>
      </c>
      <c r="I61" s="10">
        <v>3</v>
      </c>
      <c r="J61" s="22">
        <v>3.5305555555555554</v>
      </c>
      <c r="K61" t="s">
        <v>1387</v>
      </c>
      <c r="L61" s="14" t="s">
        <v>415</v>
      </c>
      <c r="M61" s="2" t="s">
        <v>1099</v>
      </c>
      <c r="N61" s="14" t="s">
        <v>1107</v>
      </c>
      <c r="O61" s="14" t="s">
        <v>5</v>
      </c>
      <c r="P61" s="2" t="s">
        <v>1341</v>
      </c>
      <c r="Q61" s="10">
        <v>3</v>
      </c>
      <c r="W61" s="44">
        <f>12*(10+11/20+10/240)</f>
        <v>127.1</v>
      </c>
      <c r="X61" s="44">
        <f>W61/Q61</f>
        <v>42.36666666666667</v>
      </c>
      <c r="Z61" s="22">
        <f>X61/12</f>
        <v>3.5305555555555554</v>
      </c>
      <c r="AD61" s="44"/>
      <c r="AE61">
        <v>10</v>
      </c>
      <c r="AF61">
        <v>11</v>
      </c>
      <c r="AG61">
        <v>10</v>
      </c>
      <c r="AH61" s="22">
        <f>AE61+AF61/20+AG61/240</f>
        <v>10.591666666666667</v>
      </c>
      <c r="AL61" s="22">
        <f>Z61*1</f>
        <v>3.5305555555555554</v>
      </c>
      <c r="AM61" s="22"/>
      <c r="BI61" s="22">
        <v>3.5305555555555554</v>
      </c>
      <c r="BR61" s="33"/>
      <c r="BU61" s="20"/>
      <c r="BY61" s="44">
        <f>W61+(BQ61*12*Q61)+BV61</f>
        <v>127.1</v>
      </c>
      <c r="BZ61" s="44">
        <f>BY61/Q61</f>
        <v>42.36666666666667</v>
      </c>
      <c r="CL61">
        <f>A61*1</f>
        <v>1456</v>
      </c>
      <c r="CM61" s="2" t="s">
        <v>1099</v>
      </c>
      <c r="CN61" t="s">
        <v>17</v>
      </c>
    </row>
    <row r="62" spans="1:92" ht="12.75">
      <c r="A62" s="18">
        <v>1456</v>
      </c>
      <c r="B62" s="14" t="s">
        <v>1117</v>
      </c>
      <c r="C62" s="14" t="s">
        <v>644</v>
      </c>
      <c r="D62" s="14" t="s">
        <v>223</v>
      </c>
      <c r="E62" s="14" t="s">
        <v>39</v>
      </c>
      <c r="F62" s="32" t="s">
        <v>140</v>
      </c>
      <c r="G62" s="2">
        <v>2</v>
      </c>
      <c r="H62" t="s">
        <v>455</v>
      </c>
      <c r="I62" s="10">
        <v>4</v>
      </c>
      <c r="J62" s="22">
        <v>2.96484375</v>
      </c>
      <c r="K62" t="s">
        <v>471</v>
      </c>
      <c r="L62" s="14" t="s">
        <v>415</v>
      </c>
      <c r="M62" s="2" t="s">
        <v>458</v>
      </c>
      <c r="N62" s="14" t="s">
        <v>464</v>
      </c>
      <c r="O62" s="14" t="s">
        <v>906</v>
      </c>
      <c r="P62" s="2" t="s">
        <v>1449</v>
      </c>
      <c r="Q62" s="10">
        <v>4</v>
      </c>
      <c r="S62" s="10">
        <v>123.75</v>
      </c>
      <c r="W62" s="44">
        <f>(S62*Y62)/20</f>
        <v>142.3125</v>
      </c>
      <c r="X62" s="44">
        <f>W62/Q62</f>
        <v>35.578125</v>
      </c>
      <c r="Y62" s="22">
        <f>12*AM62</f>
        <v>23</v>
      </c>
      <c r="Z62" s="22">
        <f>X62/12</f>
        <v>2.96484375</v>
      </c>
      <c r="AE62">
        <v>11</v>
      </c>
      <c r="AF62">
        <v>17</v>
      </c>
      <c r="AG62">
        <v>1</v>
      </c>
      <c r="AH62" s="22">
        <f>AE62+AF62/20+AG62/240</f>
        <v>11.854166666666666</v>
      </c>
      <c r="AI62">
        <v>2</v>
      </c>
      <c r="AJ62">
        <v>19</v>
      </c>
      <c r="AK62">
        <v>2.5</v>
      </c>
      <c r="AL62" s="22">
        <f>Z62*1</f>
        <v>2.96484375</v>
      </c>
      <c r="AM62" s="22">
        <f>1+11/12</f>
        <v>1.9166666666666665</v>
      </c>
      <c r="BF62" s="22">
        <v>2.96484375</v>
      </c>
      <c r="BU62" s="20"/>
      <c r="BY62" s="44">
        <f>W62+(BQ62*12*Q62)+BV62</f>
        <v>142.3125</v>
      </c>
      <c r="BZ62" s="44">
        <f>BY62/Q62</f>
        <v>35.578125</v>
      </c>
      <c r="CL62">
        <f>A62*1</f>
        <v>1456</v>
      </c>
      <c r="CM62" s="2" t="s">
        <v>458</v>
      </c>
      <c r="CN62" t="s">
        <v>66</v>
      </c>
    </row>
    <row r="63" spans="1:92" ht="12.75">
      <c r="A63" s="18">
        <v>1456</v>
      </c>
      <c r="B63" s="14" t="s">
        <v>1117</v>
      </c>
      <c r="C63" s="14" t="s">
        <v>644</v>
      </c>
      <c r="D63" s="14" t="s">
        <v>223</v>
      </c>
      <c r="E63" s="14" t="s">
        <v>39</v>
      </c>
      <c r="F63" s="32" t="s">
        <v>141</v>
      </c>
      <c r="G63" s="2">
        <v>2</v>
      </c>
      <c r="H63" t="s">
        <v>1216</v>
      </c>
      <c r="I63" s="10">
        <v>7</v>
      </c>
      <c r="J63" s="22">
        <v>1.9613095238095237</v>
      </c>
      <c r="K63" t="s">
        <v>1278</v>
      </c>
      <c r="L63" s="14" t="s">
        <v>415</v>
      </c>
      <c r="M63" s="2" t="s">
        <v>1219</v>
      </c>
      <c r="N63" s="14" t="s">
        <v>1226</v>
      </c>
      <c r="O63" s="14" t="s">
        <v>1269</v>
      </c>
      <c r="P63" s="2" t="s">
        <v>921</v>
      </c>
      <c r="Q63" s="10">
        <v>7</v>
      </c>
      <c r="W63" s="44">
        <f>12*(13+14/20+7/240)</f>
        <v>164.75</v>
      </c>
      <c r="X63" s="44">
        <f>W63/Q63</f>
        <v>23.535714285714285</v>
      </c>
      <c r="Z63" s="22">
        <f>X63/12</f>
        <v>1.9613095238095237</v>
      </c>
      <c r="AD63" s="44"/>
      <c r="AE63">
        <v>13</v>
      </c>
      <c r="AF63">
        <v>14</v>
      </c>
      <c r="AG63">
        <v>7</v>
      </c>
      <c r="AH63" s="22">
        <f>AE63+AF63/20+AG63/240</f>
        <v>13.729166666666666</v>
      </c>
      <c r="AI63">
        <v>1</v>
      </c>
      <c r="AJ63">
        <v>19</v>
      </c>
      <c r="AK63">
        <v>3</v>
      </c>
      <c r="AL63" s="22">
        <f>Z63*1</f>
        <v>1.9613095238095237</v>
      </c>
      <c r="AM63" s="22"/>
      <c r="AN63" s="34"/>
      <c r="AO63" s="34"/>
      <c r="AP63" s="34"/>
      <c r="AQ63" s="34"/>
      <c r="AR63" s="34"/>
      <c r="AS63" s="34"/>
      <c r="AT63" s="34"/>
      <c r="AU63" s="34"/>
      <c r="AV63" s="34"/>
      <c r="AW63" s="7"/>
      <c r="BI63" s="22">
        <v>1.9613095238095237</v>
      </c>
      <c r="BR63" s="33"/>
      <c r="BU63" s="20"/>
      <c r="BY63" s="44">
        <f>W63+(BQ63*12*Q63)+BV63</f>
        <v>164.75</v>
      </c>
      <c r="BZ63" s="44">
        <f>BY63/Q63</f>
        <v>23.535714285714285</v>
      </c>
      <c r="CL63">
        <f>A63*1</f>
        <v>1456</v>
      </c>
      <c r="CM63" s="2" t="s">
        <v>1219</v>
      </c>
      <c r="CN63" t="s">
        <v>63</v>
      </c>
    </row>
    <row r="64" spans="1:91" ht="12.75">
      <c r="A64" s="18"/>
      <c r="E64" s="14"/>
      <c r="F64" s="32"/>
      <c r="G64" s="2"/>
      <c r="M64" s="2"/>
      <c r="AD64" s="44"/>
      <c r="AH64" s="22"/>
      <c r="AM64" s="22"/>
      <c r="AN64" s="34"/>
      <c r="AO64" s="34"/>
      <c r="AP64" s="34"/>
      <c r="AQ64" s="34"/>
      <c r="AR64" s="34"/>
      <c r="AS64" s="34"/>
      <c r="AT64" s="34"/>
      <c r="AU64" s="34"/>
      <c r="AV64" s="34"/>
      <c r="AW64" s="7"/>
      <c r="BR64" s="33"/>
      <c r="BU64" s="20"/>
      <c r="CM64" s="2"/>
    </row>
    <row r="65" spans="1:91" ht="12.75">
      <c r="A65" s="18">
        <v>1456</v>
      </c>
      <c r="B65" s="14" t="s">
        <v>1239</v>
      </c>
      <c r="C65" s="14" t="s">
        <v>644</v>
      </c>
      <c r="D65" s="14" t="s">
        <v>224</v>
      </c>
      <c r="E65" s="14" t="s">
        <v>38</v>
      </c>
      <c r="F65" s="32" t="s">
        <v>142</v>
      </c>
      <c r="G65" s="2"/>
      <c r="H65" s="2" t="s">
        <v>5</v>
      </c>
      <c r="I65" s="10">
        <v>5</v>
      </c>
      <c r="J65" s="22">
        <v>6.6</v>
      </c>
      <c r="K65" s="2" t="s">
        <v>847</v>
      </c>
      <c r="L65" s="14" t="s">
        <v>415</v>
      </c>
      <c r="M65" s="2" t="s">
        <v>845</v>
      </c>
      <c r="N65" s="14" t="s">
        <v>1511</v>
      </c>
      <c r="O65" s="14" t="s">
        <v>913</v>
      </c>
      <c r="P65" s="2" t="s">
        <v>1660</v>
      </c>
      <c r="Q65" s="10">
        <v>5</v>
      </c>
      <c r="W65" s="44">
        <f>Q65*X65</f>
        <v>395.99999999999994</v>
      </c>
      <c r="X65" s="44">
        <f>12*Z65</f>
        <v>79.19999999999999</v>
      </c>
      <c r="Z65" s="22">
        <f>6+12/20</f>
        <v>6.6</v>
      </c>
      <c r="AD65" s="44"/>
      <c r="AH65" s="22">
        <f>Z65*Q65</f>
        <v>33</v>
      </c>
      <c r="AI65">
        <v>6</v>
      </c>
      <c r="AJ65">
        <v>12</v>
      </c>
      <c r="AK65">
        <v>0</v>
      </c>
      <c r="AL65" s="22">
        <f>Z65*1</f>
        <v>6.6</v>
      </c>
      <c r="AM65" s="22"/>
      <c r="AN65" s="34"/>
      <c r="AO65" s="34"/>
      <c r="AP65" s="34"/>
      <c r="AQ65" s="34"/>
      <c r="AR65" s="34"/>
      <c r="AS65" s="34"/>
      <c r="AT65" s="34"/>
      <c r="AU65" s="34"/>
      <c r="AV65" s="34"/>
      <c r="BR65" s="33"/>
      <c r="BU65" s="20"/>
      <c r="BY65" s="44">
        <f>W65+(BQ65*12*Q65)+BV65</f>
        <v>395.99999999999994</v>
      </c>
      <c r="BZ65" s="44">
        <f>BY65/Q65</f>
        <v>79.19999999999999</v>
      </c>
      <c r="CL65">
        <f>A65*1</f>
        <v>1456</v>
      </c>
      <c r="CM65" s="2" t="s">
        <v>845</v>
      </c>
    </row>
    <row r="66" spans="1:92" ht="12.75">
      <c r="A66" s="18">
        <v>1456</v>
      </c>
      <c r="B66" s="14" t="s">
        <v>1239</v>
      </c>
      <c r="C66" s="14" t="s">
        <v>644</v>
      </c>
      <c r="D66" s="14" t="s">
        <v>224</v>
      </c>
      <c r="E66" s="14" t="s">
        <v>38</v>
      </c>
      <c r="F66" s="32" t="s">
        <v>143</v>
      </c>
      <c r="G66" s="2"/>
      <c r="H66" s="2" t="s">
        <v>5</v>
      </c>
      <c r="I66" s="10">
        <v>5</v>
      </c>
      <c r="J66" s="22">
        <v>6.6</v>
      </c>
      <c r="K66" s="2" t="s">
        <v>862</v>
      </c>
      <c r="L66" s="14" t="s">
        <v>415</v>
      </c>
      <c r="M66" s="2" t="s">
        <v>861</v>
      </c>
      <c r="N66" s="14" t="s">
        <v>1511</v>
      </c>
      <c r="O66" s="14" t="s">
        <v>909</v>
      </c>
      <c r="P66" s="2" t="s">
        <v>1660</v>
      </c>
      <c r="Q66" s="10">
        <v>5</v>
      </c>
      <c r="W66" s="44">
        <f>Q66*X66</f>
        <v>395.99999999999994</v>
      </c>
      <c r="X66" s="44">
        <f>12*Z66</f>
        <v>79.19999999999999</v>
      </c>
      <c r="Z66" s="22">
        <f>6+12/20</f>
        <v>6.6</v>
      </c>
      <c r="AD66" s="44"/>
      <c r="AH66" s="22">
        <f>Z66*Q66</f>
        <v>33</v>
      </c>
      <c r="AI66">
        <v>6</v>
      </c>
      <c r="AJ66">
        <v>12</v>
      </c>
      <c r="AK66">
        <v>0</v>
      </c>
      <c r="AL66" s="22">
        <f>Z66*1</f>
        <v>6.6</v>
      </c>
      <c r="AM66" s="22"/>
      <c r="AN66" s="34"/>
      <c r="AO66" s="34"/>
      <c r="AP66" s="34"/>
      <c r="AQ66" s="34"/>
      <c r="AR66" s="34"/>
      <c r="AS66" s="34"/>
      <c r="AT66" s="34"/>
      <c r="AU66" s="34"/>
      <c r="AV66" s="34"/>
      <c r="BA66" s="7"/>
      <c r="BR66" s="33"/>
      <c r="BU66" s="20"/>
      <c r="BY66" s="44">
        <f>W66+(BQ66*12*Q66)+BV66</f>
        <v>395.99999999999994</v>
      </c>
      <c r="BZ66" s="44">
        <f>BY66/Q66</f>
        <v>79.19999999999999</v>
      </c>
      <c r="CL66">
        <f>A66*1</f>
        <v>1456</v>
      </c>
      <c r="CM66" s="2" t="s">
        <v>861</v>
      </c>
      <c r="CN66" t="s">
        <v>1184</v>
      </c>
    </row>
    <row r="67" spans="1:91" ht="12.75">
      <c r="A67" s="18">
        <v>1456</v>
      </c>
      <c r="B67" s="14" t="s">
        <v>1239</v>
      </c>
      <c r="C67" s="14" t="s">
        <v>644</v>
      </c>
      <c r="D67" s="14" t="s">
        <v>224</v>
      </c>
      <c r="E67" s="14" t="s">
        <v>38</v>
      </c>
      <c r="F67" s="32" t="s">
        <v>144</v>
      </c>
      <c r="G67" s="2"/>
      <c r="H67" s="2" t="s">
        <v>5</v>
      </c>
      <c r="I67" s="10">
        <v>4</v>
      </c>
      <c r="J67" s="22">
        <v>6.6</v>
      </c>
      <c r="K67" s="2" t="s">
        <v>846</v>
      </c>
      <c r="L67" s="14" t="s">
        <v>415</v>
      </c>
      <c r="M67" s="2" t="s">
        <v>845</v>
      </c>
      <c r="N67" s="14" t="s">
        <v>1511</v>
      </c>
      <c r="O67" s="14" t="s">
        <v>913</v>
      </c>
      <c r="P67" s="2" t="s">
        <v>1284</v>
      </c>
      <c r="Q67" s="10">
        <v>4</v>
      </c>
      <c r="W67" s="44">
        <f>Q67*X67</f>
        <v>316.79999999999995</v>
      </c>
      <c r="X67" s="44">
        <f>12*Z67</f>
        <v>79.19999999999999</v>
      </c>
      <c r="Z67" s="22">
        <f>6+12/20</f>
        <v>6.6</v>
      </c>
      <c r="AD67" s="44"/>
      <c r="AH67" s="22">
        <f>Z67*Q67</f>
        <v>26.4</v>
      </c>
      <c r="AI67">
        <v>6</v>
      </c>
      <c r="AJ67">
        <v>12</v>
      </c>
      <c r="AK67">
        <v>0</v>
      </c>
      <c r="AL67" s="22">
        <f>Z67*1</f>
        <v>6.6</v>
      </c>
      <c r="AM67" s="22"/>
      <c r="AN67" s="34"/>
      <c r="AO67" s="34"/>
      <c r="AP67" s="34"/>
      <c r="AQ67" s="34"/>
      <c r="AR67" s="34"/>
      <c r="AS67" s="34"/>
      <c r="AT67" s="34"/>
      <c r="AU67" s="34"/>
      <c r="AV67" s="34"/>
      <c r="AZ67" s="22">
        <v>6.6</v>
      </c>
      <c r="BB67" s="7"/>
      <c r="BI67" s="22">
        <v>6.6</v>
      </c>
      <c r="BR67" s="33"/>
      <c r="BU67" s="20"/>
      <c r="BY67" s="44">
        <f>W67+(BQ67*12*Q67)+BV67</f>
        <v>316.79999999999995</v>
      </c>
      <c r="BZ67" s="44">
        <f>BY67/Q67</f>
        <v>79.19999999999999</v>
      </c>
      <c r="CL67">
        <f>A67*1</f>
        <v>1456</v>
      </c>
      <c r="CM67" s="2" t="s">
        <v>845</v>
      </c>
    </row>
    <row r="68" spans="1:92" ht="12.75">
      <c r="A68" s="18">
        <v>1456</v>
      </c>
      <c r="B68" s="14" t="s">
        <v>1239</v>
      </c>
      <c r="C68" s="14" t="s">
        <v>644</v>
      </c>
      <c r="D68" s="14" t="s">
        <v>224</v>
      </c>
      <c r="E68" s="14" t="s">
        <v>38</v>
      </c>
      <c r="F68" s="32" t="s">
        <v>145</v>
      </c>
      <c r="G68" s="2"/>
      <c r="H68" s="2" t="s">
        <v>537</v>
      </c>
      <c r="J68" s="22"/>
      <c r="K68" s="2" t="s">
        <v>782</v>
      </c>
      <c r="L68" s="14" t="s">
        <v>415</v>
      </c>
      <c r="M68" s="2" t="s">
        <v>778</v>
      </c>
      <c r="N68" s="14" t="s">
        <v>509</v>
      </c>
      <c r="O68" s="14" t="s">
        <v>906</v>
      </c>
      <c r="P68" s="2" t="s">
        <v>1666</v>
      </c>
      <c r="R68" s="10">
        <v>10</v>
      </c>
      <c r="W68" s="44">
        <f>12*(2+10/20)</f>
        <v>30</v>
      </c>
      <c r="X68" s="44"/>
      <c r="Y68" s="22">
        <f>(W68*20)/R68</f>
        <v>60</v>
      </c>
      <c r="AD68" s="44"/>
      <c r="AE68">
        <v>2</v>
      </c>
      <c r="AF68">
        <v>10</v>
      </c>
      <c r="AG68">
        <v>0</v>
      </c>
      <c r="AH68" s="22">
        <f>AE68+AF68/20+AG68/240</f>
        <v>2.5</v>
      </c>
      <c r="AL68" s="22"/>
      <c r="AM68" s="22">
        <v>5</v>
      </c>
      <c r="AN68" s="34"/>
      <c r="AO68" s="34"/>
      <c r="AP68" s="34"/>
      <c r="AQ68" s="34"/>
      <c r="AR68" s="34"/>
      <c r="AS68" s="34"/>
      <c r="AT68" s="34"/>
      <c r="AU68" s="34"/>
      <c r="AV68" s="34"/>
      <c r="AY68" s="7"/>
      <c r="BF68" s="7"/>
      <c r="BG68" s="19"/>
      <c r="BH68" s="19"/>
      <c r="BR68" s="33"/>
      <c r="BU68" s="20"/>
      <c r="BY68" s="44">
        <f>W68+(BQ68*12*Q68)+BV68</f>
        <v>30</v>
      </c>
      <c r="BZ68" s="44"/>
      <c r="CL68">
        <f>A68*1</f>
        <v>1456</v>
      </c>
      <c r="CM68" s="2" t="s">
        <v>778</v>
      </c>
      <c r="CN68" t="s">
        <v>46</v>
      </c>
    </row>
    <row r="69" spans="1:91" ht="12.75">
      <c r="A69" s="18"/>
      <c r="E69" s="14"/>
      <c r="F69" s="32"/>
      <c r="G69" s="2"/>
      <c r="J69" s="22"/>
      <c r="M69" s="2"/>
      <c r="AD69" s="44"/>
      <c r="AH69" s="22"/>
      <c r="AL69" s="22"/>
      <c r="AM69" s="22"/>
      <c r="AN69" s="34"/>
      <c r="AO69" s="34"/>
      <c r="AP69" s="34"/>
      <c r="AQ69" s="34"/>
      <c r="AR69" s="34"/>
      <c r="AS69" s="34"/>
      <c r="AT69" s="34"/>
      <c r="AU69" s="34"/>
      <c r="AV69" s="34"/>
      <c r="BD69" s="7"/>
      <c r="BR69" s="33"/>
      <c r="BU69" s="20"/>
      <c r="CM69" s="2"/>
    </row>
    <row r="70" spans="1:91" ht="12.75">
      <c r="A70" s="18">
        <v>1457</v>
      </c>
      <c r="B70" s="14" t="s">
        <v>1117</v>
      </c>
      <c r="C70" s="14" t="s">
        <v>644</v>
      </c>
      <c r="D70" s="14" t="s">
        <v>224</v>
      </c>
      <c r="E70" s="14" t="s">
        <v>11</v>
      </c>
      <c r="F70" s="32" t="s">
        <v>146</v>
      </c>
      <c r="G70" s="2">
        <v>1</v>
      </c>
      <c r="H70" s="2" t="s">
        <v>537</v>
      </c>
      <c r="I70" s="10">
        <v>10</v>
      </c>
      <c r="J70" s="22">
        <v>7.25</v>
      </c>
      <c r="K70" s="2" t="s">
        <v>830</v>
      </c>
      <c r="L70" s="14" t="s">
        <v>415</v>
      </c>
      <c r="M70" s="2" t="s">
        <v>580</v>
      </c>
      <c r="N70" s="14" t="s">
        <v>509</v>
      </c>
      <c r="O70" s="14" t="s">
        <v>1668</v>
      </c>
      <c r="P70" s="2" t="s">
        <v>1660</v>
      </c>
      <c r="Q70" s="10">
        <v>10</v>
      </c>
      <c r="W70" s="44">
        <f>Q70*X70</f>
        <v>870</v>
      </c>
      <c r="X70" s="44">
        <f>12*Z70</f>
        <v>87</v>
      </c>
      <c r="Z70" s="22">
        <f>7+5/20</f>
        <v>7.25</v>
      </c>
      <c r="AD70" s="44"/>
      <c r="AH70" s="22">
        <f>Z70*Q70</f>
        <v>72.5</v>
      </c>
      <c r="AI70">
        <v>7</v>
      </c>
      <c r="AJ70">
        <v>5</v>
      </c>
      <c r="AK70">
        <v>0</v>
      </c>
      <c r="AL70" s="22">
        <f>Z70*1</f>
        <v>7.25</v>
      </c>
      <c r="AM70" s="22"/>
      <c r="AN70" s="34"/>
      <c r="AO70" s="34"/>
      <c r="AP70" s="34"/>
      <c r="AQ70" s="34"/>
      <c r="AR70" s="34"/>
      <c r="AS70" s="34"/>
      <c r="AT70" s="34"/>
      <c r="AU70" s="34"/>
      <c r="AV70" s="34"/>
      <c r="BI70" s="7"/>
      <c r="BR70" s="33"/>
      <c r="BU70" s="20"/>
      <c r="BY70" s="44">
        <f>W70+(BQ70*12*Q70)+BV70</f>
        <v>870</v>
      </c>
      <c r="BZ70" s="44">
        <f>BY70/Q70</f>
        <v>87</v>
      </c>
      <c r="CL70">
        <f>A70*1</f>
        <v>1457</v>
      </c>
      <c r="CM70" s="2" t="s">
        <v>580</v>
      </c>
    </row>
    <row r="71" spans="1:91" ht="12.75">
      <c r="A71" s="18">
        <v>1457</v>
      </c>
      <c r="B71" s="14" t="s">
        <v>1117</v>
      </c>
      <c r="C71" s="14" t="s">
        <v>644</v>
      </c>
      <c r="D71" s="14" t="s">
        <v>224</v>
      </c>
      <c r="E71" s="14" t="s">
        <v>11</v>
      </c>
      <c r="F71" s="32" t="s">
        <v>147</v>
      </c>
      <c r="G71" s="2">
        <v>1</v>
      </c>
      <c r="H71" s="2" t="s">
        <v>537</v>
      </c>
      <c r="I71" s="10">
        <v>10</v>
      </c>
      <c r="J71" s="22">
        <v>7.25</v>
      </c>
      <c r="K71" s="2" t="s">
        <v>820</v>
      </c>
      <c r="L71" s="14" t="s">
        <v>415</v>
      </c>
      <c r="M71" s="2" t="s">
        <v>554</v>
      </c>
      <c r="N71" s="14" t="s">
        <v>509</v>
      </c>
      <c r="O71" s="14" t="s">
        <v>1358</v>
      </c>
      <c r="P71" s="2" t="s">
        <v>1660</v>
      </c>
      <c r="Q71" s="10">
        <v>10</v>
      </c>
      <c r="W71" s="44">
        <f>Q71*X71</f>
        <v>870</v>
      </c>
      <c r="X71" s="44">
        <f>12*Z71</f>
        <v>87</v>
      </c>
      <c r="Z71" s="22">
        <f>7+5/20</f>
        <v>7.25</v>
      </c>
      <c r="AD71" s="44"/>
      <c r="AH71" s="22">
        <f>Z71*Q71</f>
        <v>72.5</v>
      </c>
      <c r="AI71">
        <v>7</v>
      </c>
      <c r="AJ71">
        <v>5</v>
      </c>
      <c r="AK71">
        <v>0</v>
      </c>
      <c r="AL71" s="22">
        <f>Z71*1</f>
        <v>7.25</v>
      </c>
      <c r="AM71" s="22"/>
      <c r="AN71" s="34"/>
      <c r="AO71" s="34"/>
      <c r="AP71" s="34"/>
      <c r="AQ71" s="34"/>
      <c r="AR71" s="34"/>
      <c r="AS71" s="34"/>
      <c r="AT71" s="34"/>
      <c r="AU71" s="34"/>
      <c r="AV71" s="34"/>
      <c r="BI71" s="7"/>
      <c r="BR71" s="33"/>
      <c r="BU71" s="20"/>
      <c r="BY71" s="44">
        <f>W71+(BQ71*12*Q71)+BV71</f>
        <v>870</v>
      </c>
      <c r="BZ71" s="44">
        <f>BY71/Q71</f>
        <v>87</v>
      </c>
      <c r="CL71">
        <f>A71*1</f>
        <v>1457</v>
      </c>
      <c r="CM71" s="2" t="s">
        <v>554</v>
      </c>
    </row>
    <row r="72" spans="1:92" ht="12.75">
      <c r="A72" s="18">
        <v>1457</v>
      </c>
      <c r="B72" s="14" t="s">
        <v>1117</v>
      </c>
      <c r="C72" s="14" t="s">
        <v>644</v>
      </c>
      <c r="D72" s="14" t="s">
        <v>224</v>
      </c>
      <c r="E72" s="14" t="s">
        <v>11</v>
      </c>
      <c r="F72" s="32" t="s">
        <v>148</v>
      </c>
      <c r="G72" s="2">
        <v>1</v>
      </c>
      <c r="H72" s="2" t="s">
        <v>537</v>
      </c>
      <c r="I72" s="10">
        <v>17</v>
      </c>
      <c r="J72" s="22">
        <v>7.25</v>
      </c>
      <c r="K72" s="2" t="s">
        <v>874</v>
      </c>
      <c r="L72" s="14" t="s">
        <v>415</v>
      </c>
      <c r="M72" s="2" t="s">
        <v>578</v>
      </c>
      <c r="N72" s="14" t="s">
        <v>509</v>
      </c>
      <c r="O72" s="14" t="s">
        <v>1358</v>
      </c>
      <c r="P72" s="2" t="s">
        <v>1660</v>
      </c>
      <c r="Q72" s="10">
        <v>17</v>
      </c>
      <c r="W72" s="44">
        <f>Q72*X72</f>
        <v>1479</v>
      </c>
      <c r="X72" s="44">
        <f>12*Z72</f>
        <v>87</v>
      </c>
      <c r="Z72" s="22">
        <f>7+5/20</f>
        <v>7.25</v>
      </c>
      <c r="AH72" s="22">
        <f>Z72*Q72</f>
        <v>123.25</v>
      </c>
      <c r="AI72">
        <v>7</v>
      </c>
      <c r="AJ72">
        <v>5</v>
      </c>
      <c r="AK72">
        <v>0</v>
      </c>
      <c r="AL72" s="22">
        <f>Z72*1</f>
        <v>7.25</v>
      </c>
      <c r="AM72" s="22"/>
      <c r="AN72" s="34"/>
      <c r="AO72" s="34"/>
      <c r="AP72" s="34"/>
      <c r="AQ72" s="34"/>
      <c r="AR72" s="34"/>
      <c r="AS72" s="34"/>
      <c r="AT72" s="34"/>
      <c r="AU72" s="34"/>
      <c r="AV72" s="34"/>
      <c r="BN72" s="22">
        <f>15/Q72</f>
        <v>0.8823529411764706</v>
      </c>
      <c r="BO72" s="22">
        <f>(18/20/Q72)</f>
        <v>0.052941176470588235</v>
      </c>
      <c r="BP72" s="22">
        <f>(21/20/Q72)</f>
        <v>0.061764705882352944</v>
      </c>
      <c r="BQ72" s="22">
        <f>BN72+BO72+BP72</f>
        <v>0.9970588235294118</v>
      </c>
      <c r="BR72" s="34">
        <f>Z72+BQ72</f>
        <v>8.24705882352941</v>
      </c>
      <c r="BS72" s="37">
        <f>BN72/BR72</f>
        <v>0.10699001426533525</v>
      </c>
      <c r="BT72" s="37">
        <f>(BO72+BP72)/BR72</f>
        <v>0.013908701854493583</v>
      </c>
      <c r="BU72" s="20">
        <f>BQ72/BR72</f>
        <v>0.12089871611982883</v>
      </c>
      <c r="BY72" s="44">
        <f>W72+(BQ72*12*Q72)+BV72</f>
        <v>1682.4</v>
      </c>
      <c r="BZ72" s="44">
        <f>BY72/Q72</f>
        <v>98.96470588235294</v>
      </c>
      <c r="CL72">
        <f>A72*1</f>
        <v>1457</v>
      </c>
      <c r="CM72" s="2" t="s">
        <v>578</v>
      </c>
      <c r="CN72" t="s">
        <v>19</v>
      </c>
    </row>
    <row r="73" spans="1:91" ht="12.75">
      <c r="A73" s="18">
        <v>1457</v>
      </c>
      <c r="B73" s="14" t="s">
        <v>1117</v>
      </c>
      <c r="C73" s="14" t="s">
        <v>644</v>
      </c>
      <c r="D73" s="14" t="s">
        <v>224</v>
      </c>
      <c r="E73" s="14" t="s">
        <v>11</v>
      </c>
      <c r="F73" s="32" t="s">
        <v>149</v>
      </c>
      <c r="G73" s="2">
        <v>1</v>
      </c>
      <c r="H73" s="2" t="s">
        <v>537</v>
      </c>
      <c r="I73" s="10">
        <v>7</v>
      </c>
      <c r="J73" s="22">
        <v>4.5</v>
      </c>
      <c r="K73" s="2" t="s">
        <v>872</v>
      </c>
      <c r="L73" s="14" t="s">
        <v>415</v>
      </c>
      <c r="M73" s="2" t="s">
        <v>577</v>
      </c>
      <c r="N73" s="14" t="s">
        <v>509</v>
      </c>
      <c r="O73" s="14" t="s">
        <v>1636</v>
      </c>
      <c r="P73" s="2" t="s">
        <v>1609</v>
      </c>
      <c r="Q73" s="10">
        <v>7</v>
      </c>
      <c r="W73" s="44">
        <f>Q73*X73</f>
        <v>378</v>
      </c>
      <c r="X73" s="44">
        <f>12*Z73</f>
        <v>54</v>
      </c>
      <c r="Z73" s="22">
        <f>4+10/20</f>
        <v>4.5</v>
      </c>
      <c r="AD73" s="44"/>
      <c r="AH73" s="22">
        <f>Z73*Q73</f>
        <v>31.5</v>
      </c>
      <c r="AI73">
        <v>4</v>
      </c>
      <c r="AJ73">
        <v>10</v>
      </c>
      <c r="AK73">
        <v>0</v>
      </c>
      <c r="AL73" s="22">
        <f>Z73*1</f>
        <v>4.5</v>
      </c>
      <c r="AM73" s="22"/>
      <c r="BI73" s="7"/>
      <c r="BR73" s="33"/>
      <c r="BU73" s="20"/>
      <c r="BY73" s="44">
        <f>W73+(BQ73*12*Q73)+BV73</f>
        <v>378</v>
      </c>
      <c r="BZ73" s="44">
        <f>BY73/Q73</f>
        <v>54</v>
      </c>
      <c r="CL73">
        <f>A73*1</f>
        <v>1457</v>
      </c>
      <c r="CM73" s="2" t="s">
        <v>577</v>
      </c>
    </row>
    <row r="74" spans="1:91" ht="12.75">
      <c r="A74" s="18">
        <v>1457</v>
      </c>
      <c r="B74" s="14" t="s">
        <v>1117</v>
      </c>
      <c r="C74" s="14" t="s">
        <v>644</v>
      </c>
      <c r="D74" s="14" t="s">
        <v>224</v>
      </c>
      <c r="E74" s="14" t="s">
        <v>11</v>
      </c>
      <c r="F74" s="32" t="s">
        <v>150</v>
      </c>
      <c r="G74" s="2">
        <v>1</v>
      </c>
      <c r="H74" s="2" t="s">
        <v>537</v>
      </c>
      <c r="I74" s="10">
        <v>1</v>
      </c>
      <c r="J74" s="22">
        <v>8</v>
      </c>
      <c r="K74" s="2" t="s">
        <v>873</v>
      </c>
      <c r="L74" s="14" t="s">
        <v>415</v>
      </c>
      <c r="M74" s="2" t="s">
        <v>577</v>
      </c>
      <c r="N74" s="14" t="s">
        <v>509</v>
      </c>
      <c r="O74" s="14" t="s">
        <v>1636</v>
      </c>
      <c r="P74" s="2" t="s">
        <v>1609</v>
      </c>
      <c r="Q74" s="10">
        <v>1</v>
      </c>
      <c r="W74" s="44">
        <f>Q74*X74</f>
        <v>96</v>
      </c>
      <c r="X74" s="44">
        <f>12*Z74</f>
        <v>96</v>
      </c>
      <c r="Z74" s="22">
        <v>8</v>
      </c>
      <c r="AD74" s="44"/>
      <c r="AE74">
        <v>8</v>
      </c>
      <c r="AF74">
        <v>0</v>
      </c>
      <c r="AG74">
        <v>0</v>
      </c>
      <c r="AH74" s="22">
        <f>AE74+AF74/20+AG74/240</f>
        <v>8</v>
      </c>
      <c r="AI74">
        <v>8</v>
      </c>
      <c r="AJ74">
        <v>0</v>
      </c>
      <c r="AK74">
        <v>0</v>
      </c>
      <c r="AL74" s="22">
        <f>Z74*1</f>
        <v>8</v>
      </c>
      <c r="AM74" s="22"/>
      <c r="BI74" s="7"/>
      <c r="BR74" s="33"/>
      <c r="BU74" s="20"/>
      <c r="BY74" s="44">
        <f>W74+(BQ74*12*Q74)+BV74</f>
        <v>96</v>
      </c>
      <c r="BZ74" s="44">
        <f>BY74/Q74</f>
        <v>96</v>
      </c>
      <c r="CL74">
        <f>A74*1</f>
        <v>1457</v>
      </c>
      <c r="CM74" s="2" t="s">
        <v>577</v>
      </c>
    </row>
    <row r="75" spans="1:91" ht="12.75">
      <c r="A75" s="18"/>
      <c r="E75" s="14"/>
      <c r="F75" s="32"/>
      <c r="G75" s="2"/>
      <c r="J75" s="22"/>
      <c r="M75" s="2"/>
      <c r="AD75" s="44"/>
      <c r="AH75" s="22"/>
      <c r="AL75" s="22"/>
      <c r="AM75" s="22"/>
      <c r="BE75" s="7"/>
      <c r="BR75" s="33"/>
      <c r="BU75" s="20"/>
      <c r="BY75" s="44"/>
      <c r="BZ75" s="44"/>
      <c r="CM75" s="2"/>
    </row>
    <row r="76" spans="1:92" ht="12.75">
      <c r="A76" s="18">
        <v>1457</v>
      </c>
      <c r="B76" s="14" t="s">
        <v>1117</v>
      </c>
      <c r="C76" s="14" t="s">
        <v>644</v>
      </c>
      <c r="D76" s="14" t="s">
        <v>224</v>
      </c>
      <c r="E76" s="14" t="s">
        <v>11</v>
      </c>
      <c r="F76" s="32" t="s">
        <v>151</v>
      </c>
      <c r="G76" s="2">
        <v>2</v>
      </c>
      <c r="H76" s="2" t="s">
        <v>537</v>
      </c>
      <c r="I76" s="10">
        <v>5</v>
      </c>
      <c r="J76" s="22">
        <v>3.2</v>
      </c>
      <c r="K76" s="2" t="s">
        <v>1496</v>
      </c>
      <c r="L76" s="14" t="s">
        <v>1414</v>
      </c>
      <c r="M76" s="2" t="s">
        <v>595</v>
      </c>
      <c r="N76" s="14" t="s">
        <v>509</v>
      </c>
      <c r="O76" s="14" t="s">
        <v>1611</v>
      </c>
      <c r="P76" s="2" t="s">
        <v>1342</v>
      </c>
      <c r="Q76" s="10">
        <v>5</v>
      </c>
      <c r="W76" s="44">
        <f>Q76*X76</f>
        <v>192.00000000000003</v>
      </c>
      <c r="X76" s="44">
        <f>12*Z76</f>
        <v>38.400000000000006</v>
      </c>
      <c r="Z76" s="22">
        <f>3+4/20</f>
        <v>3.2</v>
      </c>
      <c r="AD76" s="44"/>
      <c r="AH76" s="22">
        <f>Z76*Q76</f>
        <v>16</v>
      </c>
      <c r="AI76">
        <v>3</v>
      </c>
      <c r="AJ76">
        <v>4</v>
      </c>
      <c r="AK76">
        <v>0</v>
      </c>
      <c r="AL76" s="22">
        <f>Z76*1</f>
        <v>3.2</v>
      </c>
      <c r="AM76" s="22"/>
      <c r="AN76" s="22">
        <v>3.2</v>
      </c>
      <c r="BF76" s="7"/>
      <c r="BG76" s="19"/>
      <c r="BH76" s="19"/>
      <c r="BR76" s="33"/>
      <c r="BU76" s="20"/>
      <c r="BY76" s="44">
        <f>W76+(BQ76*12*Q76)+BV76</f>
        <v>192.00000000000003</v>
      </c>
      <c r="BZ76" s="44">
        <f>BY76/Q76</f>
        <v>38.400000000000006</v>
      </c>
      <c r="CL76">
        <f>A76*1</f>
        <v>1457</v>
      </c>
      <c r="CM76" s="2" t="s">
        <v>595</v>
      </c>
      <c r="CN76" t="s">
        <v>1193</v>
      </c>
    </row>
    <row r="77" spans="1:91" ht="12.75">
      <c r="A77" s="18">
        <v>1457</v>
      </c>
      <c r="B77" s="14" t="s">
        <v>1117</v>
      </c>
      <c r="C77" s="14" t="s">
        <v>644</v>
      </c>
      <c r="D77" s="14" t="s">
        <v>224</v>
      </c>
      <c r="E77" s="14" t="s">
        <v>11</v>
      </c>
      <c r="F77" s="32" t="s">
        <v>152</v>
      </c>
      <c r="G77" s="2">
        <v>2</v>
      </c>
      <c r="H77" s="2" t="s">
        <v>5</v>
      </c>
      <c r="I77" s="10">
        <v>4</v>
      </c>
      <c r="J77" s="22">
        <v>2.6</v>
      </c>
      <c r="K77" s="2" t="s">
        <v>1541</v>
      </c>
      <c r="L77" s="14" t="s">
        <v>415</v>
      </c>
      <c r="M77" s="2" t="s">
        <v>1538</v>
      </c>
      <c r="N77" s="14" t="s">
        <v>1595</v>
      </c>
      <c r="O77" s="14" t="s">
        <v>1535</v>
      </c>
      <c r="P77" s="2" t="s">
        <v>1449</v>
      </c>
      <c r="Q77" s="10">
        <v>4</v>
      </c>
      <c r="W77" s="44">
        <f>Q77*X77</f>
        <v>124.80000000000001</v>
      </c>
      <c r="X77" s="44">
        <f>12*Z77</f>
        <v>31.200000000000003</v>
      </c>
      <c r="Z77" s="22">
        <f>2+12/20</f>
        <v>2.6</v>
      </c>
      <c r="AD77" s="44"/>
      <c r="AH77" s="22">
        <f>Z77*Q77</f>
        <v>10.4</v>
      </c>
      <c r="AI77">
        <v>2</v>
      </c>
      <c r="AJ77">
        <v>12</v>
      </c>
      <c r="AK77">
        <v>0</v>
      </c>
      <c r="AL77" s="22">
        <f>Z77*1</f>
        <v>2.6</v>
      </c>
      <c r="AM77" s="22"/>
      <c r="BF77" s="22">
        <v>2.6</v>
      </c>
      <c r="BG77" s="19"/>
      <c r="BH77" s="19"/>
      <c r="BR77" s="33"/>
      <c r="BU77" s="20"/>
      <c r="BY77" s="44">
        <f>W77+(BQ77*12*Q77)+BV77</f>
        <v>124.80000000000001</v>
      </c>
      <c r="BZ77" s="44">
        <f>BY77/Q77</f>
        <v>31.200000000000003</v>
      </c>
      <c r="CL77">
        <f>A77*1</f>
        <v>1457</v>
      </c>
      <c r="CM77" s="2" t="s">
        <v>1538</v>
      </c>
    </row>
    <row r="78" spans="1:91" ht="12.75">
      <c r="A78" s="18">
        <v>1457</v>
      </c>
      <c r="B78" s="14" t="s">
        <v>1117</v>
      </c>
      <c r="C78" s="14" t="s">
        <v>644</v>
      </c>
      <c r="D78" s="14" t="s">
        <v>224</v>
      </c>
      <c r="E78" s="14" t="s">
        <v>11</v>
      </c>
      <c r="F78" s="32" t="s">
        <v>153</v>
      </c>
      <c r="G78" s="2">
        <v>2</v>
      </c>
      <c r="H78" s="2" t="s">
        <v>537</v>
      </c>
      <c r="I78" s="10">
        <v>7.5</v>
      </c>
      <c r="J78" s="22">
        <v>2.6</v>
      </c>
      <c r="K78" s="2" t="s">
        <v>609</v>
      </c>
      <c r="L78" s="14" t="s">
        <v>415</v>
      </c>
      <c r="M78" s="2" t="s">
        <v>585</v>
      </c>
      <c r="N78" s="14" t="s">
        <v>509</v>
      </c>
      <c r="O78" s="14" t="s">
        <v>906</v>
      </c>
      <c r="P78" s="2" t="s">
        <v>921</v>
      </c>
      <c r="Q78" s="10">
        <v>7.5</v>
      </c>
      <c r="W78" s="44">
        <f>Q78*X78</f>
        <v>234.00000000000003</v>
      </c>
      <c r="X78" s="44">
        <f>12*Z78</f>
        <v>31.200000000000003</v>
      </c>
      <c r="Z78" s="22">
        <f>2+12/20</f>
        <v>2.6</v>
      </c>
      <c r="AD78" s="44"/>
      <c r="AH78" s="22">
        <f>Z78*Q78</f>
        <v>19.5</v>
      </c>
      <c r="AI78">
        <v>2</v>
      </c>
      <c r="AJ78">
        <v>12</v>
      </c>
      <c r="AK78">
        <v>0</v>
      </c>
      <c r="AL78" s="22">
        <f>Z78*1</f>
        <v>2.6</v>
      </c>
      <c r="AM78" s="22"/>
      <c r="BF78" s="7"/>
      <c r="BG78" s="19"/>
      <c r="BH78" s="19"/>
      <c r="BI78" s="22">
        <v>2.6</v>
      </c>
      <c r="BR78" s="33"/>
      <c r="BU78" s="20"/>
      <c r="BY78" s="44">
        <f>W78+(BQ78*12*Q78)+BV78</f>
        <v>234.00000000000003</v>
      </c>
      <c r="BZ78" s="44">
        <f>BY78/Q78</f>
        <v>31.200000000000003</v>
      </c>
      <c r="CL78">
        <f>A78*1</f>
        <v>1457</v>
      </c>
      <c r="CM78" s="2" t="s">
        <v>585</v>
      </c>
    </row>
    <row r="79" spans="1:91" ht="12.75">
      <c r="A79" s="18"/>
      <c r="E79" s="14"/>
      <c r="F79" s="32"/>
      <c r="G79" s="2"/>
      <c r="J79" s="22"/>
      <c r="M79" s="2"/>
      <c r="X79" s="44"/>
      <c r="AH79" s="22"/>
      <c r="AL79" s="22"/>
      <c r="AM79" s="22"/>
      <c r="BU79" s="20"/>
      <c r="BY79" s="44"/>
      <c r="BZ79" s="44"/>
      <c r="CM79" s="2"/>
    </row>
    <row r="80" spans="1:91" ht="12.75">
      <c r="A80" s="18">
        <v>1457</v>
      </c>
      <c r="B80" s="14" t="s">
        <v>1239</v>
      </c>
      <c r="C80" s="14" t="s">
        <v>644</v>
      </c>
      <c r="D80" s="14" t="s">
        <v>225</v>
      </c>
      <c r="E80" s="14" t="s">
        <v>41</v>
      </c>
      <c r="F80" s="32" t="s">
        <v>154</v>
      </c>
      <c r="G80" s="2"/>
      <c r="H80" s="2" t="s">
        <v>537</v>
      </c>
      <c r="I80" s="10">
        <v>9</v>
      </c>
      <c r="J80" s="22">
        <v>6.75</v>
      </c>
      <c r="K80" s="2" t="s">
        <v>987</v>
      </c>
      <c r="L80" s="14" t="s">
        <v>415</v>
      </c>
      <c r="M80" s="2" t="s">
        <v>585</v>
      </c>
      <c r="N80" s="14" t="s">
        <v>509</v>
      </c>
      <c r="O80" s="14" t="s">
        <v>906</v>
      </c>
      <c r="P80" s="2" t="s">
        <v>1660</v>
      </c>
      <c r="Q80" s="10">
        <v>9</v>
      </c>
      <c r="W80" s="44">
        <f>Q80*X80</f>
        <v>729</v>
      </c>
      <c r="X80" s="44">
        <f>12*Z80</f>
        <v>81</v>
      </c>
      <c r="Z80" s="22">
        <f>6+15/20</f>
        <v>6.75</v>
      </c>
      <c r="AD80" s="44"/>
      <c r="AH80" s="22">
        <f>Z80*Q80</f>
        <v>60.75</v>
      </c>
      <c r="AI80">
        <v>6</v>
      </c>
      <c r="AJ80">
        <v>15</v>
      </c>
      <c r="AK80">
        <v>0</v>
      </c>
      <c r="AL80" s="22">
        <f>Z80*1</f>
        <v>6.75</v>
      </c>
      <c r="AM80" s="22"/>
      <c r="AN80" s="34"/>
      <c r="AO80" s="34"/>
      <c r="AP80" s="34"/>
      <c r="AQ80" s="34"/>
      <c r="AR80" s="34"/>
      <c r="AS80" s="34"/>
      <c r="AT80" s="34"/>
      <c r="AU80" s="34"/>
      <c r="AV80" s="34"/>
      <c r="BA80" s="7"/>
      <c r="BR80" s="33"/>
      <c r="BU80" s="20"/>
      <c r="BY80" s="44">
        <f>W80+(BQ80*12*Q80)+BV80</f>
        <v>729</v>
      </c>
      <c r="BZ80" s="44">
        <f>BY80/Q80</f>
        <v>81</v>
      </c>
      <c r="CL80">
        <f>A80*1</f>
        <v>1457</v>
      </c>
      <c r="CM80" s="2" t="s">
        <v>585</v>
      </c>
    </row>
    <row r="81" spans="1:91" ht="12.75">
      <c r="A81" s="18">
        <v>1457</v>
      </c>
      <c r="B81" s="14" t="s">
        <v>1239</v>
      </c>
      <c r="C81" s="14" t="s">
        <v>644</v>
      </c>
      <c r="D81" s="14" t="s">
        <v>225</v>
      </c>
      <c r="E81" s="14" t="s">
        <v>41</v>
      </c>
      <c r="F81" s="32" t="s">
        <v>155</v>
      </c>
      <c r="G81" s="2"/>
      <c r="H81" s="2" t="s">
        <v>537</v>
      </c>
      <c r="I81" s="10">
        <v>5</v>
      </c>
      <c r="J81" s="22">
        <v>7</v>
      </c>
      <c r="K81" s="2" t="s">
        <v>530</v>
      </c>
      <c r="L81" s="14" t="s">
        <v>415</v>
      </c>
      <c r="M81" s="2" t="s">
        <v>589</v>
      </c>
      <c r="N81" s="14" t="s">
        <v>507</v>
      </c>
      <c r="O81" s="14" t="s">
        <v>1109</v>
      </c>
      <c r="P81" s="2" t="s">
        <v>1660</v>
      </c>
      <c r="Q81" s="10">
        <v>5</v>
      </c>
      <c r="W81" s="44">
        <f>Q81*X81</f>
        <v>420</v>
      </c>
      <c r="X81" s="44">
        <f>12*Z81</f>
        <v>84</v>
      </c>
      <c r="Z81" s="22">
        <v>7</v>
      </c>
      <c r="AD81" s="44"/>
      <c r="AH81" s="22">
        <f>Z81*Q81</f>
        <v>35</v>
      </c>
      <c r="AI81">
        <v>7</v>
      </c>
      <c r="AJ81">
        <v>0</v>
      </c>
      <c r="AK81">
        <v>0</v>
      </c>
      <c r="AL81" s="22">
        <f>Z81*1</f>
        <v>7</v>
      </c>
      <c r="AM81" s="22"/>
      <c r="AN81" s="34"/>
      <c r="AO81" s="34"/>
      <c r="AP81" s="34"/>
      <c r="AQ81" s="34"/>
      <c r="AR81" s="34"/>
      <c r="AS81" s="34"/>
      <c r="AT81" s="34"/>
      <c r="AU81" s="34"/>
      <c r="AV81" s="34"/>
      <c r="BB81" s="7"/>
      <c r="BR81" s="33"/>
      <c r="BU81" s="20"/>
      <c r="BY81" s="44">
        <f>W81+(BQ81*12*Q81)+BV81</f>
        <v>420</v>
      </c>
      <c r="BZ81" s="44">
        <f>BY81/Q81</f>
        <v>84</v>
      </c>
      <c r="CL81">
        <f>A81*1</f>
        <v>1457</v>
      </c>
      <c r="CM81" s="2" t="s">
        <v>589</v>
      </c>
    </row>
    <row r="82" spans="1:91" ht="12.75">
      <c r="A82" s="18"/>
      <c r="E82" s="14"/>
      <c r="F82" s="32"/>
      <c r="G82" s="2"/>
      <c r="M82" s="2"/>
      <c r="X82" s="44"/>
      <c r="AD82" s="44"/>
      <c r="AH82" s="22"/>
      <c r="AM82" s="22"/>
      <c r="AN82" s="34"/>
      <c r="AO82" s="34"/>
      <c r="AP82" s="34"/>
      <c r="AQ82" s="34"/>
      <c r="AR82" s="34"/>
      <c r="AS82" s="34"/>
      <c r="AT82" s="34"/>
      <c r="AU82" s="34"/>
      <c r="AV82" s="34"/>
      <c r="BI82" s="7"/>
      <c r="BR82" s="33"/>
      <c r="BU82" s="20"/>
      <c r="BY82" s="44"/>
      <c r="BZ82" s="44"/>
      <c r="CM82" s="2"/>
    </row>
    <row r="83" spans="1:91" ht="12.75">
      <c r="A83" s="18">
        <v>1458</v>
      </c>
      <c r="B83" s="14" t="s">
        <v>1117</v>
      </c>
      <c r="C83" s="14" t="s">
        <v>644</v>
      </c>
      <c r="D83" s="14" t="s">
        <v>225</v>
      </c>
      <c r="E83" s="14" t="s">
        <v>42</v>
      </c>
      <c r="F83" s="32" t="s">
        <v>156</v>
      </c>
      <c r="G83" s="2">
        <v>1</v>
      </c>
      <c r="H83" s="2" t="s">
        <v>537</v>
      </c>
      <c r="I83" s="10">
        <v>28</v>
      </c>
      <c r="J83" s="22">
        <v>7</v>
      </c>
      <c r="K83" s="2" t="s">
        <v>823</v>
      </c>
      <c r="L83" s="14" t="s">
        <v>415</v>
      </c>
      <c r="M83" s="2" t="s">
        <v>558</v>
      </c>
      <c r="N83" s="14" t="s">
        <v>509</v>
      </c>
      <c r="O83" s="14" t="s">
        <v>5</v>
      </c>
      <c r="P83" s="2" t="s">
        <v>622</v>
      </c>
      <c r="Q83" s="10">
        <v>28</v>
      </c>
      <c r="W83" s="44">
        <f aca="true" t="shared" si="15" ref="W83:W89">Q83*X83</f>
        <v>2352</v>
      </c>
      <c r="X83" s="44">
        <f aca="true" t="shared" si="16" ref="X83:X89">12*Z83</f>
        <v>84</v>
      </c>
      <c r="Z83" s="22">
        <v>7</v>
      </c>
      <c r="AD83" s="44"/>
      <c r="AH83" s="22">
        <f>Z83*Q83</f>
        <v>196</v>
      </c>
      <c r="AI83">
        <v>7</v>
      </c>
      <c r="AJ83">
        <v>0</v>
      </c>
      <c r="AK83">
        <v>0</v>
      </c>
      <c r="AL83" s="22">
        <f aca="true" t="shared" si="17" ref="AL83:AL89">Z83*1</f>
        <v>7</v>
      </c>
      <c r="AM83" s="22"/>
      <c r="AN83" s="34"/>
      <c r="AO83" s="34"/>
      <c r="AP83" s="34"/>
      <c r="AQ83" s="34"/>
      <c r="AR83" s="34"/>
      <c r="AS83" s="34"/>
      <c r="AT83" s="34"/>
      <c r="AU83" s="34"/>
      <c r="AV83" s="34"/>
      <c r="BD83" s="7"/>
      <c r="BI83" s="22"/>
      <c r="BR83" s="33"/>
      <c r="BU83" s="20"/>
      <c r="BY83" s="44">
        <f aca="true" t="shared" si="18" ref="BY83:BY89">W83+(BQ83*12*Q83)+BV83</f>
        <v>2352</v>
      </c>
      <c r="BZ83" s="44">
        <f aca="true" t="shared" si="19" ref="BZ83:BZ89">BY83/Q83</f>
        <v>84</v>
      </c>
      <c r="CL83">
        <f aca="true" t="shared" si="20" ref="CL83:CL89">A83*1</f>
        <v>1458</v>
      </c>
      <c r="CM83" s="2" t="s">
        <v>558</v>
      </c>
    </row>
    <row r="84" spans="1:91" ht="12.75">
      <c r="A84" s="18">
        <v>1458</v>
      </c>
      <c r="B84" s="14" t="s">
        <v>1117</v>
      </c>
      <c r="C84" s="14" t="s">
        <v>644</v>
      </c>
      <c r="D84" s="14" t="s">
        <v>225</v>
      </c>
      <c r="E84" s="14" t="s">
        <v>42</v>
      </c>
      <c r="F84" s="32" t="s">
        <v>157</v>
      </c>
      <c r="G84" s="2">
        <v>1</v>
      </c>
      <c r="H84" s="2" t="s">
        <v>5</v>
      </c>
      <c r="I84" s="10">
        <v>7</v>
      </c>
      <c r="J84" s="22">
        <v>4</v>
      </c>
      <c r="K84" s="2" t="s">
        <v>1689</v>
      </c>
      <c r="L84" s="14" t="s">
        <v>415</v>
      </c>
      <c r="M84" s="2" t="s">
        <v>1673</v>
      </c>
      <c r="N84" s="14" t="s">
        <v>1595</v>
      </c>
      <c r="O84" s="14" t="s">
        <v>1636</v>
      </c>
      <c r="P84" s="2" t="s">
        <v>1609</v>
      </c>
      <c r="Q84" s="10">
        <v>7</v>
      </c>
      <c r="W84" s="44">
        <f t="shared" si="15"/>
        <v>336</v>
      </c>
      <c r="X84" s="44">
        <f t="shared" si="16"/>
        <v>48</v>
      </c>
      <c r="Z84" s="22">
        <v>4</v>
      </c>
      <c r="AD84" s="44"/>
      <c r="AH84" s="22">
        <f>Z84*Q84</f>
        <v>28</v>
      </c>
      <c r="AI84">
        <v>4</v>
      </c>
      <c r="AJ84">
        <v>0</v>
      </c>
      <c r="AK84">
        <v>0</v>
      </c>
      <c r="AL84" s="22">
        <f t="shared" si="17"/>
        <v>4</v>
      </c>
      <c r="AM84" s="22"/>
      <c r="AN84" s="34"/>
      <c r="AO84" s="34"/>
      <c r="AP84" s="34"/>
      <c r="AQ84" s="34"/>
      <c r="AR84" s="34"/>
      <c r="AS84" s="34"/>
      <c r="AT84" s="34"/>
      <c r="AU84" s="34"/>
      <c r="AV84" s="34"/>
      <c r="BI84" s="7"/>
      <c r="BR84" s="33"/>
      <c r="BU84" s="20"/>
      <c r="BY84" s="44">
        <f t="shared" si="18"/>
        <v>336</v>
      </c>
      <c r="BZ84" s="44">
        <f t="shared" si="19"/>
        <v>48</v>
      </c>
      <c r="CL84">
        <f t="shared" si="20"/>
        <v>1458</v>
      </c>
      <c r="CM84" s="2" t="s">
        <v>1673</v>
      </c>
    </row>
    <row r="85" spans="1:91" ht="12.75">
      <c r="A85" s="18">
        <v>1458</v>
      </c>
      <c r="B85" s="14" t="s">
        <v>1117</v>
      </c>
      <c r="C85" s="14" t="s">
        <v>644</v>
      </c>
      <c r="D85" s="14" t="s">
        <v>225</v>
      </c>
      <c r="E85" s="14" t="s">
        <v>42</v>
      </c>
      <c r="F85" s="32" t="s">
        <v>158</v>
      </c>
      <c r="G85" s="2">
        <v>1</v>
      </c>
      <c r="H85" s="2" t="s">
        <v>537</v>
      </c>
      <c r="I85" s="10">
        <v>1</v>
      </c>
      <c r="J85" s="22">
        <v>8</v>
      </c>
      <c r="K85" s="2" t="s">
        <v>871</v>
      </c>
      <c r="L85" s="14" t="s">
        <v>415</v>
      </c>
      <c r="M85" s="2" t="s">
        <v>577</v>
      </c>
      <c r="N85" s="14" t="s">
        <v>509</v>
      </c>
      <c r="O85" s="14" t="s">
        <v>1636</v>
      </c>
      <c r="P85" s="2" t="s">
        <v>1609</v>
      </c>
      <c r="Q85" s="10">
        <v>1</v>
      </c>
      <c r="W85" s="44">
        <f t="shared" si="15"/>
        <v>96</v>
      </c>
      <c r="X85" s="44">
        <f t="shared" si="16"/>
        <v>96</v>
      </c>
      <c r="Z85" s="22">
        <v>8</v>
      </c>
      <c r="AD85" s="44"/>
      <c r="AE85">
        <v>8</v>
      </c>
      <c r="AF85">
        <v>0</v>
      </c>
      <c r="AG85">
        <v>0</v>
      </c>
      <c r="AH85" s="22">
        <f>AE85+AF85/20+AG85/240</f>
        <v>8</v>
      </c>
      <c r="AI85">
        <v>8</v>
      </c>
      <c r="AJ85">
        <v>0</v>
      </c>
      <c r="AK85">
        <v>0</v>
      </c>
      <c r="AL85" s="22">
        <f t="shared" si="17"/>
        <v>8</v>
      </c>
      <c r="AM85" s="22"/>
      <c r="AN85" s="34"/>
      <c r="AO85" s="34"/>
      <c r="AP85" s="34"/>
      <c r="AQ85" s="34"/>
      <c r="AR85" s="34"/>
      <c r="AS85" s="34"/>
      <c r="AT85" s="34"/>
      <c r="AU85" s="34"/>
      <c r="AV85" s="34"/>
      <c r="BI85" s="7"/>
      <c r="BR85" s="33"/>
      <c r="BU85" s="20"/>
      <c r="BY85" s="44">
        <f t="shared" si="18"/>
        <v>96</v>
      </c>
      <c r="BZ85" s="44">
        <f t="shared" si="19"/>
        <v>96</v>
      </c>
      <c r="CL85">
        <f t="shared" si="20"/>
        <v>1458</v>
      </c>
      <c r="CM85" s="2" t="s">
        <v>577</v>
      </c>
    </row>
    <row r="86" spans="1:92" ht="12.75">
      <c r="A86" s="18">
        <v>1458</v>
      </c>
      <c r="B86" s="14" t="s">
        <v>1117</v>
      </c>
      <c r="C86" s="14" t="s">
        <v>644</v>
      </c>
      <c r="D86" s="14" t="s">
        <v>225</v>
      </c>
      <c r="E86" s="14" t="s">
        <v>42</v>
      </c>
      <c r="F86" s="32" t="s">
        <v>159</v>
      </c>
      <c r="G86" s="2">
        <v>1</v>
      </c>
      <c r="H86" s="2" t="s">
        <v>5</v>
      </c>
      <c r="I86" s="10">
        <v>4</v>
      </c>
      <c r="J86" s="22">
        <v>3.2</v>
      </c>
      <c r="K86" s="2" t="s">
        <v>1502</v>
      </c>
      <c r="L86" s="14" t="s">
        <v>415</v>
      </c>
      <c r="M86" s="2" t="s">
        <v>1494</v>
      </c>
      <c r="N86" s="14" t="s">
        <v>1595</v>
      </c>
      <c r="O86" s="14" t="s">
        <v>1611</v>
      </c>
      <c r="P86" s="2" t="s">
        <v>1449</v>
      </c>
      <c r="Q86" s="10">
        <v>4</v>
      </c>
      <c r="W86" s="44">
        <f t="shared" si="15"/>
        <v>153.60000000000002</v>
      </c>
      <c r="X86" s="44">
        <f t="shared" si="16"/>
        <v>38.400000000000006</v>
      </c>
      <c r="Z86" s="22">
        <f>3+4/20</f>
        <v>3.2</v>
      </c>
      <c r="AD86" s="44"/>
      <c r="AH86" s="22">
        <f>Z86*Q86</f>
        <v>12.8</v>
      </c>
      <c r="AI86">
        <v>3</v>
      </c>
      <c r="AJ86">
        <v>4</v>
      </c>
      <c r="AK86">
        <v>0</v>
      </c>
      <c r="AL86" s="22">
        <f t="shared" si="17"/>
        <v>3.2</v>
      </c>
      <c r="AM86" s="22"/>
      <c r="AN86" s="22">
        <v>3.2</v>
      </c>
      <c r="AO86" s="34"/>
      <c r="AP86" s="34"/>
      <c r="AQ86" s="34"/>
      <c r="AR86" s="34"/>
      <c r="AS86" s="34"/>
      <c r="AT86" s="34"/>
      <c r="AU86" s="34"/>
      <c r="AV86" s="34"/>
      <c r="BR86" s="33"/>
      <c r="BU86" s="20"/>
      <c r="BY86" s="44">
        <f t="shared" si="18"/>
        <v>153.60000000000002</v>
      </c>
      <c r="BZ86" s="44">
        <f t="shared" si="19"/>
        <v>38.400000000000006</v>
      </c>
      <c r="CL86">
        <f t="shared" si="20"/>
        <v>1458</v>
      </c>
      <c r="CM86" s="2" t="s">
        <v>1494</v>
      </c>
      <c r="CN86" t="s">
        <v>1195</v>
      </c>
    </row>
    <row r="87" spans="1:92" ht="12.75">
      <c r="A87" s="18">
        <v>1458</v>
      </c>
      <c r="B87" s="14" t="s">
        <v>1117</v>
      </c>
      <c r="C87" s="14" t="s">
        <v>644</v>
      </c>
      <c r="D87" s="14" t="s">
        <v>225</v>
      </c>
      <c r="E87" s="14" t="s">
        <v>42</v>
      </c>
      <c r="F87" s="32" t="s">
        <v>160</v>
      </c>
      <c r="G87" s="2">
        <v>1</v>
      </c>
      <c r="H87" s="2" t="s">
        <v>5</v>
      </c>
      <c r="I87" s="10">
        <v>2</v>
      </c>
      <c r="J87" s="22">
        <v>3.0416666666666665</v>
      </c>
      <c r="K87" s="2" t="s">
        <v>1729</v>
      </c>
      <c r="L87" s="14" t="s">
        <v>415</v>
      </c>
      <c r="M87" s="2" t="s">
        <v>480</v>
      </c>
      <c r="N87" s="14" t="s">
        <v>1595</v>
      </c>
      <c r="O87" s="14" t="s">
        <v>453</v>
      </c>
      <c r="P87" s="2" t="s">
        <v>1328</v>
      </c>
      <c r="Q87" s="10">
        <v>2</v>
      </c>
      <c r="W87" s="44">
        <f t="shared" si="15"/>
        <v>73</v>
      </c>
      <c r="X87" s="44">
        <f t="shared" si="16"/>
        <v>36.5</v>
      </c>
      <c r="Z87" s="22">
        <f>3+10/240</f>
        <v>3.0416666666666665</v>
      </c>
      <c r="AD87" s="44"/>
      <c r="AH87" s="22">
        <f>Z87*Q87</f>
        <v>6.083333333333333</v>
      </c>
      <c r="AI87">
        <v>3</v>
      </c>
      <c r="AJ87">
        <v>0</v>
      </c>
      <c r="AK87">
        <v>10</v>
      </c>
      <c r="AL87" s="22">
        <f t="shared" si="17"/>
        <v>3.0416666666666665</v>
      </c>
      <c r="AM87" s="22"/>
      <c r="AW87" s="7"/>
      <c r="BI87" s="22">
        <v>3.0416666666666665</v>
      </c>
      <c r="BR87" s="33"/>
      <c r="BU87" s="20"/>
      <c r="BY87" s="44">
        <f t="shared" si="18"/>
        <v>73</v>
      </c>
      <c r="BZ87" s="44">
        <f t="shared" si="19"/>
        <v>36.5</v>
      </c>
      <c r="CL87">
        <f t="shared" si="20"/>
        <v>1458</v>
      </c>
      <c r="CM87" s="2" t="s">
        <v>480</v>
      </c>
      <c r="CN87" t="s">
        <v>82</v>
      </c>
    </row>
    <row r="88" spans="1:91" ht="12.75">
      <c r="A88" s="18">
        <v>1458</v>
      </c>
      <c r="B88" s="14" t="s">
        <v>1117</v>
      </c>
      <c r="C88" s="14" t="s">
        <v>644</v>
      </c>
      <c r="D88" s="14" t="s">
        <v>225</v>
      </c>
      <c r="E88" s="14" t="s">
        <v>42</v>
      </c>
      <c r="F88" s="32" t="s">
        <v>161</v>
      </c>
      <c r="G88" s="2">
        <v>1</v>
      </c>
      <c r="H88" s="2" t="s">
        <v>5</v>
      </c>
      <c r="I88" s="10">
        <v>1</v>
      </c>
      <c r="J88" s="22">
        <v>3.0416666666666665</v>
      </c>
      <c r="K88" s="2" t="s">
        <v>1277</v>
      </c>
      <c r="L88" s="14" t="s">
        <v>415</v>
      </c>
      <c r="M88" s="2" t="s">
        <v>1305</v>
      </c>
      <c r="N88" s="14" t="s">
        <v>1595</v>
      </c>
      <c r="O88" s="14" t="s">
        <v>1269</v>
      </c>
      <c r="P88" s="2" t="s">
        <v>1328</v>
      </c>
      <c r="Q88" s="10">
        <v>1</v>
      </c>
      <c r="W88" s="44">
        <f t="shared" si="15"/>
        <v>36.5</v>
      </c>
      <c r="X88" s="44">
        <f t="shared" si="16"/>
        <v>36.5</v>
      </c>
      <c r="Z88" s="22">
        <f>3+10/240</f>
        <v>3.0416666666666665</v>
      </c>
      <c r="AD88" s="44"/>
      <c r="AE88">
        <v>3</v>
      </c>
      <c r="AF88">
        <v>0</v>
      </c>
      <c r="AG88">
        <v>10</v>
      </c>
      <c r="AH88" s="22">
        <f>AE88+AF88/20+AG88/240</f>
        <v>3.0416666666666665</v>
      </c>
      <c r="AI88">
        <v>3</v>
      </c>
      <c r="AJ88">
        <v>0</v>
      </c>
      <c r="AK88">
        <v>10</v>
      </c>
      <c r="AL88" s="22">
        <f t="shared" si="17"/>
        <v>3.0416666666666665</v>
      </c>
      <c r="AM88" s="22"/>
      <c r="AW88" s="7"/>
      <c r="BI88" s="22">
        <v>3.0416666666666665</v>
      </c>
      <c r="BR88" s="33"/>
      <c r="BU88" s="20"/>
      <c r="BY88" s="44">
        <f t="shared" si="18"/>
        <v>36.5</v>
      </c>
      <c r="BZ88" s="44">
        <f t="shared" si="19"/>
        <v>36.5</v>
      </c>
      <c r="CL88">
        <f t="shared" si="20"/>
        <v>1458</v>
      </c>
      <c r="CM88" s="2" t="s">
        <v>1305</v>
      </c>
    </row>
    <row r="89" spans="1:92" ht="12.75">
      <c r="A89" s="18">
        <v>1458</v>
      </c>
      <c r="B89" s="14" t="s">
        <v>1117</v>
      </c>
      <c r="C89" s="14" t="s">
        <v>644</v>
      </c>
      <c r="D89" s="14" t="s">
        <v>225</v>
      </c>
      <c r="E89" s="14" t="s">
        <v>42</v>
      </c>
      <c r="F89" s="32" t="s">
        <v>162</v>
      </c>
      <c r="G89" s="2">
        <v>1</v>
      </c>
      <c r="H89" s="2" t="s">
        <v>5</v>
      </c>
      <c r="I89" s="10">
        <v>9</v>
      </c>
      <c r="J89" s="22">
        <v>0.6</v>
      </c>
      <c r="K89" s="2" t="s">
        <v>1690</v>
      </c>
      <c r="L89" s="14" t="s">
        <v>415</v>
      </c>
      <c r="M89" t="s">
        <v>1631</v>
      </c>
      <c r="N89" s="14" t="s">
        <v>1633</v>
      </c>
      <c r="O89" s="14" t="s">
        <v>1636</v>
      </c>
      <c r="P89" s="2" t="s">
        <v>5</v>
      </c>
      <c r="Q89" s="10">
        <v>9</v>
      </c>
      <c r="W89" s="44">
        <f t="shared" si="15"/>
        <v>64.8</v>
      </c>
      <c r="X89" s="44">
        <f t="shared" si="16"/>
        <v>7.199999999999999</v>
      </c>
      <c r="Y89" s="22">
        <f>(X89*20)/9</f>
        <v>16</v>
      </c>
      <c r="Z89" s="22">
        <f>12/20</f>
        <v>0.6</v>
      </c>
      <c r="AD89" s="44"/>
      <c r="AH89" s="22">
        <f>Z89*Q89</f>
        <v>5.3999999999999995</v>
      </c>
      <c r="AJ89">
        <v>12</v>
      </c>
      <c r="AK89">
        <v>0</v>
      </c>
      <c r="AL89" s="22">
        <f t="shared" si="17"/>
        <v>0.6</v>
      </c>
      <c r="AM89" s="22">
        <f>Y89/12</f>
        <v>1.3333333333333333</v>
      </c>
      <c r="BA89" s="7"/>
      <c r="BR89" s="33"/>
      <c r="BU89" s="20"/>
      <c r="BY89" s="44">
        <f t="shared" si="18"/>
        <v>64.8</v>
      </c>
      <c r="BZ89" s="44">
        <f t="shared" si="19"/>
        <v>7.199999999999999</v>
      </c>
      <c r="CL89">
        <f t="shared" si="20"/>
        <v>1458</v>
      </c>
      <c r="CM89" t="s">
        <v>1631</v>
      </c>
      <c r="CN89" t="s">
        <v>1190</v>
      </c>
    </row>
    <row r="90" spans="1:91" ht="12.75">
      <c r="A90" s="18"/>
      <c r="E90" s="14"/>
      <c r="F90" s="32"/>
      <c r="G90" s="2"/>
      <c r="J90" s="22"/>
      <c r="M90" s="2"/>
      <c r="W90" s="44"/>
      <c r="X90" s="44"/>
      <c r="AD90" s="44"/>
      <c r="AH90" s="22"/>
      <c r="AL90" s="22"/>
      <c r="AM90" s="22"/>
      <c r="BB90" s="7"/>
      <c r="BR90" s="33"/>
      <c r="BU90" s="20"/>
      <c r="BY90" s="44"/>
      <c r="BZ90" s="44"/>
      <c r="CM90" s="2"/>
    </row>
    <row r="91" spans="1:92" ht="12.75">
      <c r="A91" s="18">
        <v>1458</v>
      </c>
      <c r="B91" s="14" t="s">
        <v>1117</v>
      </c>
      <c r="C91" s="14" t="s">
        <v>644</v>
      </c>
      <c r="D91" s="14" t="s">
        <v>225</v>
      </c>
      <c r="E91" s="14" t="s">
        <v>42</v>
      </c>
      <c r="F91" s="32" t="s">
        <v>163</v>
      </c>
      <c r="G91" s="2">
        <v>2</v>
      </c>
      <c r="H91" s="2" t="s">
        <v>5</v>
      </c>
      <c r="I91" s="10">
        <v>2</v>
      </c>
      <c r="J91" s="22">
        <v>1.6666666666666665</v>
      </c>
      <c r="K91" s="2" t="s">
        <v>1398</v>
      </c>
      <c r="L91" s="14" t="s">
        <v>415</v>
      </c>
      <c r="M91" s="2" t="s">
        <v>1373</v>
      </c>
      <c r="N91" s="14" t="s">
        <v>1595</v>
      </c>
      <c r="O91" s="14" t="s">
        <v>1349</v>
      </c>
      <c r="P91" s="2" t="s">
        <v>5</v>
      </c>
      <c r="Q91" s="10">
        <v>2</v>
      </c>
      <c r="S91" s="10">
        <v>61.5</v>
      </c>
      <c r="W91" s="44">
        <f>Q91*X91</f>
        <v>40</v>
      </c>
      <c r="X91" s="44">
        <f>12*Z91</f>
        <v>20</v>
      </c>
      <c r="Y91" s="22">
        <f>(W91*20)/S91</f>
        <v>13.008130081300813</v>
      </c>
      <c r="Z91" s="22">
        <f>1+13/20+4/240</f>
        <v>1.6666666666666665</v>
      </c>
      <c r="AD91" s="44"/>
      <c r="AH91" s="22">
        <f>Z91*Q91</f>
        <v>3.333333333333333</v>
      </c>
      <c r="AI91">
        <v>1</v>
      </c>
      <c r="AJ91">
        <v>13</v>
      </c>
      <c r="AK91">
        <v>4</v>
      </c>
      <c r="AL91" s="22">
        <f>Z91*1</f>
        <v>1.6666666666666665</v>
      </c>
      <c r="AM91" s="22">
        <f>Y91/12</f>
        <v>1.084010840108401</v>
      </c>
      <c r="BD91" s="7"/>
      <c r="BR91" s="33"/>
      <c r="BU91" s="20"/>
      <c r="BY91" s="44">
        <f>W91+(BQ91*12*Q91)+BV91</f>
        <v>40</v>
      </c>
      <c r="BZ91" s="44">
        <f>BY91/Q91</f>
        <v>20</v>
      </c>
      <c r="CL91">
        <f>A91*1</f>
        <v>1458</v>
      </c>
      <c r="CM91" s="2" t="s">
        <v>1373</v>
      </c>
      <c r="CN91" t="s">
        <v>73</v>
      </c>
    </row>
    <row r="92" spans="1:91" ht="12.75">
      <c r="A92" s="18"/>
      <c r="E92" s="14"/>
      <c r="F92" s="32"/>
      <c r="G92" s="2"/>
      <c r="M92" s="2"/>
      <c r="AD92" s="44"/>
      <c r="AH92" s="22"/>
      <c r="AM92" s="22"/>
      <c r="BI92" s="7"/>
      <c r="BR92" s="33"/>
      <c r="BU92" s="20"/>
      <c r="BY92" s="44"/>
      <c r="BZ92" s="44"/>
      <c r="CM92" s="2"/>
    </row>
    <row r="93" spans="1:91" ht="12.75">
      <c r="A93" s="18">
        <v>1458</v>
      </c>
      <c r="B93" s="14" t="s">
        <v>1239</v>
      </c>
      <c r="C93" s="14" t="s">
        <v>644</v>
      </c>
      <c r="D93" s="14" t="s">
        <v>226</v>
      </c>
      <c r="E93" s="14" t="s">
        <v>31</v>
      </c>
      <c r="F93" s="32" t="s">
        <v>164</v>
      </c>
      <c r="G93" s="2"/>
      <c r="H93" s="2" t="s">
        <v>537</v>
      </c>
      <c r="I93" s="10">
        <v>14</v>
      </c>
      <c r="J93" s="22">
        <v>6.5</v>
      </c>
      <c r="K93" s="2" t="s">
        <v>823</v>
      </c>
      <c r="L93" s="14" t="s">
        <v>415</v>
      </c>
      <c r="M93" s="2" t="s">
        <v>558</v>
      </c>
      <c r="N93" s="14" t="s">
        <v>509</v>
      </c>
      <c r="O93" s="14" t="s">
        <v>5</v>
      </c>
      <c r="P93" s="2" t="s">
        <v>1660</v>
      </c>
      <c r="Q93" s="10">
        <v>14</v>
      </c>
      <c r="W93" s="44">
        <f>Q93*X93</f>
        <v>1092</v>
      </c>
      <c r="X93" s="44">
        <f>12*Z93</f>
        <v>78</v>
      </c>
      <c r="Z93" s="22">
        <f>6+10/20</f>
        <v>6.5</v>
      </c>
      <c r="AD93" s="44"/>
      <c r="AH93" s="22">
        <f>Z93*Q93</f>
        <v>91</v>
      </c>
      <c r="AI93">
        <v>6</v>
      </c>
      <c r="AJ93">
        <v>10</v>
      </c>
      <c r="AK93">
        <v>0</v>
      </c>
      <c r="AL93" s="22">
        <f>Z93*1</f>
        <v>6.5</v>
      </c>
      <c r="AM93" s="22"/>
      <c r="BI93" s="7"/>
      <c r="BR93" s="33"/>
      <c r="BU93" s="20"/>
      <c r="BY93" s="44">
        <f>W93+(BQ93*12*Q93)+BV93</f>
        <v>1092</v>
      </c>
      <c r="BZ93" s="44">
        <f>BY93/Q93</f>
        <v>78</v>
      </c>
      <c r="CL93">
        <f>A93*1</f>
        <v>1458</v>
      </c>
      <c r="CM93" s="2" t="s">
        <v>558</v>
      </c>
    </row>
    <row r="94" spans="1:91" ht="12.75">
      <c r="A94" s="18">
        <v>1458</v>
      </c>
      <c r="B94" s="14" t="s">
        <v>1239</v>
      </c>
      <c r="C94" s="14" t="s">
        <v>644</v>
      </c>
      <c r="D94" s="14" t="s">
        <v>226</v>
      </c>
      <c r="E94" s="14" t="s">
        <v>31</v>
      </c>
      <c r="F94" s="32" t="s">
        <v>165</v>
      </c>
      <c r="G94" s="2"/>
      <c r="H94" s="2" t="s">
        <v>537</v>
      </c>
      <c r="I94" s="10">
        <v>2</v>
      </c>
      <c r="J94" s="22">
        <v>4.5</v>
      </c>
      <c r="K94" s="2" t="s">
        <v>977</v>
      </c>
      <c r="L94" s="14" t="s">
        <v>415</v>
      </c>
      <c r="M94" s="2" t="s">
        <v>585</v>
      </c>
      <c r="N94" s="14" t="s">
        <v>509</v>
      </c>
      <c r="O94" s="14" t="s">
        <v>906</v>
      </c>
      <c r="P94" s="2" t="s">
        <v>932</v>
      </c>
      <c r="Q94" s="10">
        <v>2</v>
      </c>
      <c r="W94" s="44">
        <f>Q94*X94</f>
        <v>108</v>
      </c>
      <c r="X94" s="44">
        <f>12*Z94</f>
        <v>54</v>
      </c>
      <c r="Z94" s="22">
        <f>4+10/20</f>
        <v>4.5</v>
      </c>
      <c r="AD94" s="44"/>
      <c r="AH94" s="22">
        <f>Z94*Q94</f>
        <v>9</v>
      </c>
      <c r="AI94">
        <v>4</v>
      </c>
      <c r="AJ94">
        <v>10</v>
      </c>
      <c r="AK94">
        <v>0</v>
      </c>
      <c r="AL94" s="22">
        <f>Z94*1</f>
        <v>4.5</v>
      </c>
      <c r="AM94" s="22"/>
      <c r="AY94" s="7"/>
      <c r="BI94" s="22">
        <v>4.5</v>
      </c>
      <c r="BR94" s="33"/>
      <c r="BU94" s="20"/>
      <c r="BY94" s="44">
        <f>W94+(BQ94*12*Q94)+BV94</f>
        <v>108</v>
      </c>
      <c r="BZ94" s="44">
        <f>BY94/Q94</f>
        <v>54</v>
      </c>
      <c r="CL94">
        <f>A94*1</f>
        <v>1458</v>
      </c>
      <c r="CM94" s="2" t="s">
        <v>585</v>
      </c>
    </row>
    <row r="95" spans="1:91" ht="12.75">
      <c r="A95" s="18"/>
      <c r="E95" s="14"/>
      <c r="F95" s="32"/>
      <c r="G95" s="2"/>
      <c r="J95" s="22"/>
      <c r="M95" s="2"/>
      <c r="AH95" s="22"/>
      <c r="AL95" s="22"/>
      <c r="AM95" s="22"/>
      <c r="BU95" s="20"/>
      <c r="CM95" s="2"/>
    </row>
    <row r="96" spans="1:91" ht="12.75">
      <c r="A96" s="18">
        <v>1459</v>
      </c>
      <c r="B96" s="14" t="s">
        <v>1117</v>
      </c>
      <c r="C96" s="14" t="s">
        <v>644</v>
      </c>
      <c r="D96" s="14" t="s">
        <v>226</v>
      </c>
      <c r="E96" s="14" t="s">
        <v>32</v>
      </c>
      <c r="F96" s="32" t="s">
        <v>166</v>
      </c>
      <c r="G96" s="2">
        <v>1</v>
      </c>
      <c r="H96" s="2" t="s">
        <v>537</v>
      </c>
      <c r="I96" s="10">
        <v>26</v>
      </c>
      <c r="J96" s="22">
        <v>7</v>
      </c>
      <c r="K96" s="2" t="s">
        <v>822</v>
      </c>
      <c r="L96" s="14" t="s">
        <v>415</v>
      </c>
      <c r="M96" s="2" t="s">
        <v>558</v>
      </c>
      <c r="N96" s="14" t="s">
        <v>509</v>
      </c>
      <c r="O96" s="14" t="s">
        <v>5</v>
      </c>
      <c r="P96" s="2" t="s">
        <v>618</v>
      </c>
      <c r="Q96" s="10">
        <v>26</v>
      </c>
      <c r="W96" s="44">
        <f>Q96*X96</f>
        <v>2184</v>
      </c>
      <c r="X96" s="44">
        <f>12*Z96</f>
        <v>84</v>
      </c>
      <c r="Z96" s="22">
        <v>7</v>
      </c>
      <c r="AD96" s="44"/>
      <c r="AH96" s="22">
        <f>Z96*Q96</f>
        <v>182</v>
      </c>
      <c r="AI96">
        <v>7</v>
      </c>
      <c r="AJ96">
        <v>0</v>
      </c>
      <c r="AK96">
        <v>0</v>
      </c>
      <c r="AL96" s="22">
        <f aca="true" t="shared" si="21" ref="AL96:AL101">Z96*1</f>
        <v>7</v>
      </c>
      <c r="AM96" s="22"/>
      <c r="AN96" s="34"/>
      <c r="AO96" s="34"/>
      <c r="AP96" s="34"/>
      <c r="AQ96" s="34"/>
      <c r="AR96" s="34"/>
      <c r="AS96" s="34"/>
      <c r="AT96" s="34"/>
      <c r="AU96" s="34"/>
      <c r="AV96" s="34"/>
      <c r="AY96" s="7"/>
      <c r="BI96" s="22"/>
      <c r="BR96" s="33"/>
      <c r="BU96" s="20"/>
      <c r="BY96" s="44">
        <f aca="true" t="shared" si="22" ref="BY96:BY101">W96+(BQ96*12*Q96)+BV96</f>
        <v>2184</v>
      </c>
      <c r="BZ96" s="44">
        <f aca="true" t="shared" si="23" ref="BZ96:BZ101">BY96/Q96</f>
        <v>84</v>
      </c>
      <c r="CL96">
        <f aca="true" t="shared" si="24" ref="CL96:CL101">A96*1</f>
        <v>1459</v>
      </c>
      <c r="CM96" s="2" t="s">
        <v>558</v>
      </c>
    </row>
    <row r="97" spans="1:91" ht="12.75">
      <c r="A97" s="18">
        <v>1459</v>
      </c>
      <c r="B97" s="14" t="s">
        <v>1117</v>
      </c>
      <c r="C97" s="14" t="s">
        <v>644</v>
      </c>
      <c r="D97" s="14" t="s">
        <v>226</v>
      </c>
      <c r="E97" s="14" t="s">
        <v>32</v>
      </c>
      <c r="F97" s="32" t="s">
        <v>167</v>
      </c>
      <c r="G97" s="2">
        <v>1</v>
      </c>
      <c r="H97" s="2" t="s">
        <v>537</v>
      </c>
      <c r="I97" s="10">
        <v>2</v>
      </c>
      <c r="J97" s="22">
        <v>7</v>
      </c>
      <c r="K97" s="2" t="s">
        <v>864</v>
      </c>
      <c r="L97" s="14" t="s">
        <v>415</v>
      </c>
      <c r="M97" s="2" t="s">
        <v>571</v>
      </c>
      <c r="N97" s="14" t="s">
        <v>509</v>
      </c>
      <c r="O97" s="14" t="s">
        <v>1269</v>
      </c>
      <c r="P97" s="2" t="s">
        <v>933</v>
      </c>
      <c r="Q97" s="10">
        <v>2</v>
      </c>
      <c r="W97" s="44">
        <f>Q97*X97</f>
        <v>168</v>
      </c>
      <c r="X97" s="44">
        <f>12*Z97</f>
        <v>84</v>
      </c>
      <c r="Z97" s="22">
        <v>7</v>
      </c>
      <c r="AD97" s="44"/>
      <c r="AH97" s="22">
        <f>Z97*Q97</f>
        <v>14</v>
      </c>
      <c r="AI97">
        <v>7</v>
      </c>
      <c r="AJ97">
        <v>0</v>
      </c>
      <c r="AK97">
        <v>0</v>
      </c>
      <c r="AL97" s="22">
        <f t="shared" si="21"/>
        <v>7</v>
      </c>
      <c r="AM97" s="22"/>
      <c r="AN97" s="34"/>
      <c r="AO97" s="34"/>
      <c r="AP97" s="34"/>
      <c r="AQ97" s="34"/>
      <c r="AR97" s="34"/>
      <c r="AS97" s="34"/>
      <c r="AT97" s="34"/>
      <c r="AU97" s="34"/>
      <c r="AV97" s="34"/>
      <c r="BI97" s="22">
        <v>7</v>
      </c>
      <c r="BR97" s="33"/>
      <c r="BU97" s="20"/>
      <c r="BY97" s="44">
        <f t="shared" si="22"/>
        <v>168</v>
      </c>
      <c r="BZ97" s="44">
        <f t="shared" si="23"/>
        <v>84</v>
      </c>
      <c r="CL97">
        <f t="shared" si="24"/>
        <v>1459</v>
      </c>
      <c r="CM97" s="2" t="s">
        <v>571</v>
      </c>
    </row>
    <row r="98" spans="1:91" ht="12.75">
      <c r="A98" s="18">
        <v>1459</v>
      </c>
      <c r="B98" s="14" t="s">
        <v>1117</v>
      </c>
      <c r="C98" s="14" t="s">
        <v>644</v>
      </c>
      <c r="D98" s="14" t="s">
        <v>226</v>
      </c>
      <c r="E98" s="14" t="s">
        <v>32</v>
      </c>
      <c r="F98" s="32" t="s">
        <v>168</v>
      </c>
      <c r="G98" s="2">
        <v>1</v>
      </c>
      <c r="H98" s="2" t="s">
        <v>5</v>
      </c>
      <c r="I98" s="10">
        <v>7</v>
      </c>
      <c r="J98" s="22">
        <v>4</v>
      </c>
      <c r="K98" s="2" t="s">
        <v>1689</v>
      </c>
      <c r="L98" s="14" t="s">
        <v>415</v>
      </c>
      <c r="M98" s="2" t="s">
        <v>1673</v>
      </c>
      <c r="N98" s="14" t="s">
        <v>1595</v>
      </c>
      <c r="O98" s="14" t="s">
        <v>1636</v>
      </c>
      <c r="P98" s="2" t="s">
        <v>1609</v>
      </c>
      <c r="Q98" s="10">
        <v>7</v>
      </c>
      <c r="W98" s="44">
        <f>Q98*X98</f>
        <v>336</v>
      </c>
      <c r="X98" s="44">
        <f>12*Z98</f>
        <v>48</v>
      </c>
      <c r="Z98" s="22">
        <v>4</v>
      </c>
      <c r="AD98" s="44"/>
      <c r="AH98" s="22">
        <f>Z98*Q98</f>
        <v>28</v>
      </c>
      <c r="AI98">
        <v>4</v>
      </c>
      <c r="AJ98">
        <v>0</v>
      </c>
      <c r="AK98">
        <v>0</v>
      </c>
      <c r="AL98" s="22">
        <f t="shared" si="21"/>
        <v>4</v>
      </c>
      <c r="AM98" s="22"/>
      <c r="AN98" s="34"/>
      <c r="AO98" s="34"/>
      <c r="AP98" s="34"/>
      <c r="AQ98" s="34"/>
      <c r="AR98" s="34"/>
      <c r="AS98" s="34"/>
      <c r="AT98" s="34"/>
      <c r="AU98" s="34"/>
      <c r="AV98" s="34"/>
      <c r="BI98" s="7"/>
      <c r="BR98" s="33"/>
      <c r="BU98" s="20"/>
      <c r="BY98" s="44">
        <f t="shared" si="22"/>
        <v>336</v>
      </c>
      <c r="BZ98" s="44">
        <f t="shared" si="23"/>
        <v>48</v>
      </c>
      <c r="CL98">
        <f t="shared" si="24"/>
        <v>1459</v>
      </c>
      <c r="CM98" s="2" t="s">
        <v>1673</v>
      </c>
    </row>
    <row r="99" spans="1:91" ht="12.75">
      <c r="A99" s="18">
        <v>1459</v>
      </c>
      <c r="B99" s="14" t="s">
        <v>1117</v>
      </c>
      <c r="C99" s="14" t="s">
        <v>644</v>
      </c>
      <c r="D99" s="14" t="s">
        <v>226</v>
      </c>
      <c r="E99" s="14" t="s">
        <v>32</v>
      </c>
      <c r="F99" s="32" t="s">
        <v>169</v>
      </c>
      <c r="G99" s="2">
        <v>1</v>
      </c>
      <c r="H99" s="2" t="s">
        <v>5</v>
      </c>
      <c r="I99" s="10">
        <v>1</v>
      </c>
      <c r="J99" s="22">
        <v>8</v>
      </c>
      <c r="K99" s="2" t="s">
        <v>877</v>
      </c>
      <c r="L99" s="14" t="s">
        <v>415</v>
      </c>
      <c r="M99" s="2" t="s">
        <v>870</v>
      </c>
      <c r="N99" s="14" t="s">
        <v>1595</v>
      </c>
      <c r="O99" s="14" t="s">
        <v>1636</v>
      </c>
      <c r="P99" s="2" t="s">
        <v>1609</v>
      </c>
      <c r="Q99" s="10">
        <v>1</v>
      </c>
      <c r="W99" s="44">
        <f>Q99*X99</f>
        <v>96</v>
      </c>
      <c r="X99" s="44">
        <f>12*Z99</f>
        <v>96</v>
      </c>
      <c r="Z99" s="22">
        <v>8</v>
      </c>
      <c r="AD99" s="44"/>
      <c r="AE99">
        <v>8</v>
      </c>
      <c r="AF99">
        <v>0</v>
      </c>
      <c r="AG99">
        <v>0</v>
      </c>
      <c r="AH99" s="22">
        <f>AE99+AF99/20+AG99/240</f>
        <v>8</v>
      </c>
      <c r="AI99">
        <v>8</v>
      </c>
      <c r="AJ99">
        <v>0</v>
      </c>
      <c r="AK99">
        <v>0</v>
      </c>
      <c r="AL99" s="22">
        <f t="shared" si="21"/>
        <v>8</v>
      </c>
      <c r="AM99" s="22"/>
      <c r="AN99" s="34"/>
      <c r="AO99" s="34"/>
      <c r="AP99" s="34"/>
      <c r="AQ99" s="34"/>
      <c r="AR99" s="34"/>
      <c r="AS99" s="34"/>
      <c r="AT99" s="34"/>
      <c r="AU99" s="34"/>
      <c r="AV99" s="34"/>
      <c r="BR99" s="33"/>
      <c r="BU99" s="20"/>
      <c r="BY99" s="44">
        <f t="shared" si="22"/>
        <v>96</v>
      </c>
      <c r="BZ99" s="44">
        <f t="shared" si="23"/>
        <v>96</v>
      </c>
      <c r="CL99">
        <f t="shared" si="24"/>
        <v>1459</v>
      </c>
      <c r="CM99" s="2" t="s">
        <v>870</v>
      </c>
    </row>
    <row r="100" spans="1:92" ht="12.75">
      <c r="A100" s="18">
        <v>1459</v>
      </c>
      <c r="B100" s="14" t="s">
        <v>1117</v>
      </c>
      <c r="C100" s="14" t="s">
        <v>644</v>
      </c>
      <c r="D100" s="14" t="s">
        <v>226</v>
      </c>
      <c r="E100" s="14" t="s">
        <v>32</v>
      </c>
      <c r="F100" s="32" t="s">
        <v>170</v>
      </c>
      <c r="G100" s="2">
        <v>1</v>
      </c>
      <c r="H100" s="2" t="s">
        <v>1034</v>
      </c>
      <c r="I100" s="10">
        <v>4</v>
      </c>
      <c r="J100" s="22">
        <v>2.9812500000000006</v>
      </c>
      <c r="K100" s="2" t="s">
        <v>980</v>
      </c>
      <c r="L100" s="14" t="s">
        <v>415</v>
      </c>
      <c r="M100" s="2" t="s">
        <v>1037</v>
      </c>
      <c r="N100" s="14" t="s">
        <v>1032</v>
      </c>
      <c r="O100" s="14" t="s">
        <v>1668</v>
      </c>
      <c r="P100" s="2" t="s">
        <v>1344</v>
      </c>
      <c r="Q100" s="10">
        <v>4</v>
      </c>
      <c r="S100" s="10">
        <v>119.25</v>
      </c>
      <c r="W100" s="44">
        <f>12*(11+18/20+6/240)</f>
        <v>143.10000000000002</v>
      </c>
      <c r="X100" s="44">
        <f>W100/Q100</f>
        <v>35.775000000000006</v>
      </c>
      <c r="Y100" s="22">
        <f>(W100*20)/S100</f>
        <v>24.000000000000004</v>
      </c>
      <c r="Z100" s="22">
        <f>X100/12</f>
        <v>2.9812500000000006</v>
      </c>
      <c r="AA100" s="22"/>
      <c r="AD100" s="44"/>
      <c r="AE100">
        <v>11</v>
      </c>
      <c r="AF100">
        <v>18</v>
      </c>
      <c r="AG100">
        <v>6</v>
      </c>
      <c r="AH100" s="22">
        <f>AE100+AF100/20+AG100/240</f>
        <v>11.925</v>
      </c>
      <c r="AI100">
        <v>2</v>
      </c>
      <c r="AJ100">
        <v>19</v>
      </c>
      <c r="AK100">
        <v>7</v>
      </c>
      <c r="AL100" s="22">
        <f t="shared" si="21"/>
        <v>2.9812500000000006</v>
      </c>
      <c r="AM100" s="22">
        <f>Y100/12</f>
        <v>2.0000000000000004</v>
      </c>
      <c r="AN100" s="34"/>
      <c r="AO100" s="34"/>
      <c r="AP100" s="34"/>
      <c r="AQ100" s="34"/>
      <c r="AR100" s="34"/>
      <c r="AS100" s="34"/>
      <c r="AT100" s="34"/>
      <c r="AU100" s="34"/>
      <c r="AV100" s="34"/>
      <c r="BE100" s="7"/>
      <c r="BI100" s="22">
        <v>2.98125</v>
      </c>
      <c r="BR100" s="33"/>
      <c r="BU100" s="20"/>
      <c r="BY100" s="44">
        <f t="shared" si="22"/>
        <v>143.10000000000002</v>
      </c>
      <c r="BZ100" s="44">
        <f t="shared" si="23"/>
        <v>35.775000000000006</v>
      </c>
      <c r="CL100">
        <f t="shared" si="24"/>
        <v>1459</v>
      </c>
      <c r="CM100" s="2" t="s">
        <v>1037</v>
      </c>
      <c r="CN100" t="s">
        <v>76</v>
      </c>
    </row>
    <row r="101" spans="1:92" ht="12.75">
      <c r="A101" s="18">
        <v>1459</v>
      </c>
      <c r="B101" s="14" t="s">
        <v>1117</v>
      </c>
      <c r="C101" s="14" t="s">
        <v>644</v>
      </c>
      <c r="D101" s="14" t="s">
        <v>226</v>
      </c>
      <c r="E101" s="14" t="s">
        <v>32</v>
      </c>
      <c r="F101" s="32" t="s">
        <v>171</v>
      </c>
      <c r="G101" s="2">
        <v>1</v>
      </c>
      <c r="H101" s="2" t="s">
        <v>455</v>
      </c>
      <c r="I101" s="10">
        <v>4</v>
      </c>
      <c r="J101" s="22">
        <v>2.345833333333333</v>
      </c>
      <c r="K101" s="2" t="s">
        <v>470</v>
      </c>
      <c r="L101" s="14" t="s">
        <v>415</v>
      </c>
      <c r="M101" s="2" t="s">
        <v>458</v>
      </c>
      <c r="N101" s="14" t="s">
        <v>464</v>
      </c>
      <c r="O101" s="14" t="s">
        <v>906</v>
      </c>
      <c r="P101" s="2" t="s">
        <v>5</v>
      </c>
      <c r="Q101" s="10">
        <v>4</v>
      </c>
      <c r="S101" s="10">
        <v>121.75</v>
      </c>
      <c r="W101" s="44">
        <f>12*(9+7/20+8/240)</f>
        <v>112.6</v>
      </c>
      <c r="X101" s="44">
        <f>W101/Q101</f>
        <v>28.15</v>
      </c>
      <c r="Y101" s="22">
        <f>(20*W101)/S101</f>
        <v>18.496919917864478</v>
      </c>
      <c r="Z101" s="22">
        <f>X101/12</f>
        <v>2.345833333333333</v>
      </c>
      <c r="AD101" s="44"/>
      <c r="AE101">
        <v>9</v>
      </c>
      <c r="AF101">
        <v>7</v>
      </c>
      <c r="AG101">
        <v>8</v>
      </c>
      <c r="AH101" s="22">
        <f>AE101+AF101/20+AG101/240</f>
        <v>9.383333333333333</v>
      </c>
      <c r="AI101">
        <v>2</v>
      </c>
      <c r="AJ101">
        <v>6</v>
      </c>
      <c r="AK101">
        <v>11</v>
      </c>
      <c r="AL101" s="22">
        <f t="shared" si="21"/>
        <v>2.345833333333333</v>
      </c>
      <c r="AM101" s="22">
        <f>Y101/12</f>
        <v>1.541409993155373</v>
      </c>
      <c r="AN101" s="34"/>
      <c r="AO101" s="34"/>
      <c r="AP101" s="34"/>
      <c r="AQ101" s="34"/>
      <c r="AR101" s="34"/>
      <c r="AS101" s="34"/>
      <c r="AT101" s="34"/>
      <c r="AU101" s="34"/>
      <c r="AV101" s="34"/>
      <c r="BR101" s="33"/>
      <c r="BU101" s="20"/>
      <c r="BY101" s="44">
        <f t="shared" si="22"/>
        <v>112.6</v>
      </c>
      <c r="BZ101" s="44">
        <f t="shared" si="23"/>
        <v>28.15</v>
      </c>
      <c r="CL101">
        <f t="shared" si="24"/>
        <v>1459</v>
      </c>
      <c r="CM101" s="2" t="s">
        <v>458</v>
      </c>
      <c r="CN101" t="s">
        <v>77</v>
      </c>
    </row>
    <row r="102" spans="1:91" ht="12.75">
      <c r="A102" s="18"/>
      <c r="E102" s="14"/>
      <c r="F102" s="32"/>
      <c r="G102" s="2"/>
      <c r="M102" s="2"/>
      <c r="W102" s="44"/>
      <c r="X102" s="44"/>
      <c r="AD102" s="4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BR102" s="33"/>
      <c r="BU102" s="20"/>
      <c r="CM102" s="2"/>
    </row>
    <row r="103" spans="1:92" ht="12.75">
      <c r="A103" s="18">
        <v>1459</v>
      </c>
      <c r="B103" s="14" t="s">
        <v>1117</v>
      </c>
      <c r="C103" s="14" t="s">
        <v>644</v>
      </c>
      <c r="D103" s="14" t="s">
        <v>226</v>
      </c>
      <c r="E103" s="14" t="s">
        <v>32</v>
      </c>
      <c r="F103" s="32" t="s">
        <v>172</v>
      </c>
      <c r="G103" s="2">
        <v>2</v>
      </c>
      <c r="H103" s="2" t="s">
        <v>1216</v>
      </c>
      <c r="I103" s="10">
        <v>3</v>
      </c>
      <c r="J103" s="22">
        <v>1.798611111111111</v>
      </c>
      <c r="K103" s="2" t="s">
        <v>1228</v>
      </c>
      <c r="L103" s="14" t="s">
        <v>415</v>
      </c>
      <c r="M103" s="2" t="s">
        <v>1219</v>
      </c>
      <c r="N103" s="14" t="s">
        <v>1226</v>
      </c>
      <c r="O103" s="14" t="s">
        <v>1269</v>
      </c>
      <c r="P103" s="2" t="s">
        <v>917</v>
      </c>
      <c r="Q103" s="10">
        <v>3</v>
      </c>
      <c r="S103" s="10">
        <v>92.5</v>
      </c>
      <c r="W103" s="44">
        <f>12*(5+7/20+11/240)</f>
        <v>64.75</v>
      </c>
      <c r="X103" s="44">
        <f>W103/Q103</f>
        <v>21.583333333333332</v>
      </c>
      <c r="Y103" s="22">
        <f>(W103*20)/S103</f>
        <v>14</v>
      </c>
      <c r="Z103" s="22">
        <f>X103/12</f>
        <v>1.798611111111111</v>
      </c>
      <c r="AD103" s="44"/>
      <c r="AE103">
        <v>5</v>
      </c>
      <c r="AF103">
        <v>7</v>
      </c>
      <c r="AG103">
        <v>11</v>
      </c>
      <c r="AH103" s="22">
        <f>AE103+AF103/20+AG103/240</f>
        <v>5.395833333333333</v>
      </c>
      <c r="AI103">
        <v>1</v>
      </c>
      <c r="AJ103">
        <v>16</v>
      </c>
      <c r="AK103">
        <v>0</v>
      </c>
      <c r="AL103" s="22">
        <f aca="true" t="shared" si="25" ref="AL103:AL109">Z103*1</f>
        <v>1.798611111111111</v>
      </c>
      <c r="AM103" s="34">
        <f aca="true" t="shared" si="26" ref="AM103:AM109">Y103/12</f>
        <v>1.1666666666666667</v>
      </c>
      <c r="AN103" s="34"/>
      <c r="AO103" s="34"/>
      <c r="AP103" s="34"/>
      <c r="AQ103" s="34"/>
      <c r="AR103" s="34"/>
      <c r="AS103" s="34"/>
      <c r="AT103" s="34"/>
      <c r="AU103" s="34"/>
      <c r="AV103" s="34"/>
      <c r="AZ103" s="7"/>
      <c r="BI103" s="22">
        <v>1.798611111111111</v>
      </c>
      <c r="BR103" s="33"/>
      <c r="BU103" s="20"/>
      <c r="BY103" s="44">
        <f aca="true" t="shared" si="27" ref="BY103:BY109">W103+(BQ103*12*Q103)+BV103</f>
        <v>64.75</v>
      </c>
      <c r="BZ103" s="44">
        <f aca="true" t="shared" si="28" ref="BZ103:BZ109">BY103/Q103</f>
        <v>21.583333333333332</v>
      </c>
      <c r="CL103">
        <f aca="true" t="shared" si="29" ref="CL103:CL109">A103*1</f>
        <v>1459</v>
      </c>
      <c r="CM103" s="2" t="s">
        <v>1219</v>
      </c>
      <c r="CN103" t="s">
        <v>60</v>
      </c>
    </row>
    <row r="104" spans="1:91" ht="12.75">
      <c r="A104" s="18">
        <v>1459</v>
      </c>
      <c r="B104" s="14" t="s">
        <v>1117</v>
      </c>
      <c r="C104" s="14" t="s">
        <v>644</v>
      </c>
      <c r="D104" s="14" t="s">
        <v>226</v>
      </c>
      <c r="E104" s="14" t="s">
        <v>32</v>
      </c>
      <c r="F104" s="32" t="s">
        <v>174</v>
      </c>
      <c r="G104" s="2">
        <v>2</v>
      </c>
      <c r="H104" s="2" t="s">
        <v>5</v>
      </c>
      <c r="I104" s="10">
        <v>1</v>
      </c>
      <c r="J104" s="22">
        <v>1.8375</v>
      </c>
      <c r="K104" s="2" t="s">
        <v>1295</v>
      </c>
      <c r="L104" s="14" t="s">
        <v>415</v>
      </c>
      <c r="M104" s="2" t="s">
        <v>1305</v>
      </c>
      <c r="N104" s="14" t="s">
        <v>1595</v>
      </c>
      <c r="O104" s="14" t="s">
        <v>1269</v>
      </c>
      <c r="P104" s="2" t="s">
        <v>5</v>
      </c>
      <c r="Q104" s="10">
        <v>1</v>
      </c>
      <c r="S104" s="10">
        <v>31.5</v>
      </c>
      <c r="W104" s="44">
        <f>Q104*X104</f>
        <v>22.05</v>
      </c>
      <c r="X104" s="44">
        <f>12*Z104</f>
        <v>22.05</v>
      </c>
      <c r="Y104" s="22">
        <f>(W104*20)/S104</f>
        <v>14</v>
      </c>
      <c r="Z104" s="22">
        <f>1+16/20+9/240</f>
        <v>1.8375000000000001</v>
      </c>
      <c r="AE104">
        <v>1</v>
      </c>
      <c r="AF104">
        <v>16</v>
      </c>
      <c r="AG104">
        <v>9</v>
      </c>
      <c r="AH104" s="22">
        <f>AE104+AF104/20+AG104/240</f>
        <v>1.8375000000000001</v>
      </c>
      <c r="AI104">
        <v>1</v>
      </c>
      <c r="AJ104">
        <v>16</v>
      </c>
      <c r="AK104">
        <v>9</v>
      </c>
      <c r="AL104" s="22">
        <f t="shared" si="25"/>
        <v>1.8375000000000001</v>
      </c>
      <c r="AM104" s="34">
        <f t="shared" si="26"/>
        <v>1.1666666666666667</v>
      </c>
      <c r="AN104" s="34"/>
      <c r="AO104" s="34"/>
      <c r="AP104" s="34"/>
      <c r="AQ104" s="34"/>
      <c r="AR104" s="34"/>
      <c r="AS104" s="34"/>
      <c r="AT104" s="34"/>
      <c r="AU104" s="34"/>
      <c r="AV104" s="34"/>
      <c r="BU104" s="20"/>
      <c r="BY104" s="44">
        <f t="shared" si="27"/>
        <v>22.05</v>
      </c>
      <c r="BZ104" s="44">
        <f t="shared" si="28"/>
        <v>22.05</v>
      </c>
      <c r="CL104">
        <f t="shared" si="29"/>
        <v>1459</v>
      </c>
      <c r="CM104" s="2" t="s">
        <v>1305</v>
      </c>
    </row>
    <row r="105" spans="1:91" ht="12.75">
      <c r="A105" s="18">
        <v>1459</v>
      </c>
      <c r="B105" s="14" t="s">
        <v>1117</v>
      </c>
      <c r="C105" s="14" t="s">
        <v>644</v>
      </c>
      <c r="D105" s="14" t="s">
        <v>226</v>
      </c>
      <c r="E105" s="14" t="s">
        <v>32</v>
      </c>
      <c r="F105" s="32" t="s">
        <v>175</v>
      </c>
      <c r="G105" s="2">
        <v>2</v>
      </c>
      <c r="H105" s="2" t="s">
        <v>5</v>
      </c>
      <c r="I105" s="10">
        <v>1</v>
      </c>
      <c r="J105" s="22">
        <v>1.9666666666666666</v>
      </c>
      <c r="K105" s="2" t="s">
        <v>1294</v>
      </c>
      <c r="L105" s="14" t="s">
        <v>415</v>
      </c>
      <c r="M105" s="2" t="s">
        <v>1305</v>
      </c>
      <c r="N105" s="14" t="s">
        <v>1595</v>
      </c>
      <c r="O105" s="14" t="s">
        <v>1269</v>
      </c>
      <c r="P105" s="2" t="s">
        <v>5</v>
      </c>
      <c r="Q105" s="10">
        <v>1</v>
      </c>
      <c r="S105" s="10">
        <v>33.75</v>
      </c>
      <c r="W105" s="44">
        <f>Q105*X105</f>
        <v>23.599999999999998</v>
      </c>
      <c r="X105" s="44">
        <f>12*Z105</f>
        <v>23.599999999999998</v>
      </c>
      <c r="Y105" s="22">
        <f>(W105*20)/S105</f>
        <v>13.985185185185184</v>
      </c>
      <c r="Z105" s="22">
        <f>1+19/20+4/240</f>
        <v>1.9666666666666666</v>
      </c>
      <c r="AD105" s="44"/>
      <c r="AE105">
        <v>1</v>
      </c>
      <c r="AF105">
        <v>19</v>
      </c>
      <c r="AG105">
        <v>4</v>
      </c>
      <c r="AH105" s="22">
        <f>AE105+AF105/20+AG105/240</f>
        <v>1.9666666666666666</v>
      </c>
      <c r="AI105">
        <v>1</v>
      </c>
      <c r="AJ105">
        <v>19</v>
      </c>
      <c r="AK105">
        <v>4</v>
      </c>
      <c r="AL105" s="22">
        <f t="shared" si="25"/>
        <v>1.9666666666666666</v>
      </c>
      <c r="AM105" s="34">
        <f t="shared" si="26"/>
        <v>1.165432098765432</v>
      </c>
      <c r="AN105" s="34"/>
      <c r="AO105" s="34"/>
      <c r="AP105" s="34"/>
      <c r="AQ105" s="34"/>
      <c r="AR105" s="34"/>
      <c r="AS105" s="34"/>
      <c r="AT105" s="34"/>
      <c r="AU105" s="34"/>
      <c r="AV105" s="34"/>
      <c r="AW105" s="7"/>
      <c r="BR105" s="33"/>
      <c r="BU105" s="20"/>
      <c r="BY105" s="44">
        <f t="shared" si="27"/>
        <v>23.599999999999998</v>
      </c>
      <c r="BZ105" s="44">
        <f t="shared" si="28"/>
        <v>23.599999999999998</v>
      </c>
      <c r="CL105">
        <f t="shared" si="29"/>
        <v>1459</v>
      </c>
      <c r="CM105" s="2" t="s">
        <v>1305</v>
      </c>
    </row>
    <row r="106" spans="1:91" ht="12.75">
      <c r="A106" s="18">
        <v>1459</v>
      </c>
      <c r="B106" s="14" t="s">
        <v>1117</v>
      </c>
      <c r="C106" s="14" t="s">
        <v>644</v>
      </c>
      <c r="D106" s="14" t="s">
        <v>226</v>
      </c>
      <c r="E106" s="14" t="s">
        <v>32</v>
      </c>
      <c r="F106" s="32" t="s">
        <v>176</v>
      </c>
      <c r="G106" s="2">
        <v>2</v>
      </c>
      <c r="H106" s="2" t="s">
        <v>5</v>
      </c>
      <c r="I106" s="10">
        <v>1</v>
      </c>
      <c r="J106" s="22">
        <v>1.8666666666666667</v>
      </c>
      <c r="K106" s="2" t="s">
        <v>1294</v>
      </c>
      <c r="L106" s="14" t="s">
        <v>415</v>
      </c>
      <c r="M106" s="2" t="s">
        <v>1305</v>
      </c>
      <c r="N106" s="14" t="s">
        <v>1595</v>
      </c>
      <c r="O106" s="14" t="s">
        <v>1269</v>
      </c>
      <c r="P106" s="2" t="s">
        <v>5</v>
      </c>
      <c r="Q106" s="10">
        <v>1</v>
      </c>
      <c r="S106" s="10">
        <v>32</v>
      </c>
      <c r="W106" s="44">
        <f>Q106*X106</f>
        <v>22.4</v>
      </c>
      <c r="X106" s="44">
        <f>12*Z106</f>
        <v>22.4</v>
      </c>
      <c r="Y106" s="22">
        <f>(W106*20)/S106</f>
        <v>14</v>
      </c>
      <c r="Z106" s="22">
        <f>1+17/20+4/240</f>
        <v>1.8666666666666667</v>
      </c>
      <c r="AD106" s="44"/>
      <c r="AE106">
        <v>1</v>
      </c>
      <c r="AF106">
        <v>17</v>
      </c>
      <c r="AG106">
        <v>4</v>
      </c>
      <c r="AH106" s="22">
        <f>AE106+AF106/20+AG106/240</f>
        <v>1.8666666666666667</v>
      </c>
      <c r="AI106">
        <v>1</v>
      </c>
      <c r="AJ106">
        <v>17</v>
      </c>
      <c r="AK106">
        <v>4</v>
      </c>
      <c r="AL106" s="22">
        <f t="shared" si="25"/>
        <v>1.8666666666666667</v>
      </c>
      <c r="AM106" s="34">
        <f t="shared" si="26"/>
        <v>1.1666666666666667</v>
      </c>
      <c r="AN106" s="34"/>
      <c r="AO106" s="34"/>
      <c r="AP106" s="34"/>
      <c r="AQ106" s="34"/>
      <c r="AR106" s="34"/>
      <c r="AS106" s="34"/>
      <c r="AT106" s="34"/>
      <c r="AU106" s="34"/>
      <c r="AV106" s="34"/>
      <c r="AW106" s="7"/>
      <c r="BR106" s="33"/>
      <c r="BU106" s="20"/>
      <c r="BY106" s="44">
        <f t="shared" si="27"/>
        <v>22.4</v>
      </c>
      <c r="BZ106" s="44">
        <f t="shared" si="28"/>
        <v>22.4</v>
      </c>
      <c r="CL106">
        <f t="shared" si="29"/>
        <v>1459</v>
      </c>
      <c r="CM106" s="2" t="s">
        <v>1305</v>
      </c>
    </row>
    <row r="107" spans="1:91" ht="12.75">
      <c r="A107" s="18">
        <v>1459</v>
      </c>
      <c r="B107" s="14" t="s">
        <v>1117</v>
      </c>
      <c r="C107" s="14" t="s">
        <v>644</v>
      </c>
      <c r="D107" s="14" t="s">
        <v>226</v>
      </c>
      <c r="E107" s="14" t="s">
        <v>32</v>
      </c>
      <c r="F107" s="32" t="s">
        <v>177</v>
      </c>
      <c r="G107" s="2">
        <v>2</v>
      </c>
      <c r="H107" s="2" t="s">
        <v>5</v>
      </c>
      <c r="I107" s="10">
        <v>1</v>
      </c>
      <c r="J107" s="22">
        <v>1.7916666666666667</v>
      </c>
      <c r="K107" s="2" t="s">
        <v>1294</v>
      </c>
      <c r="L107" s="14" t="s">
        <v>415</v>
      </c>
      <c r="M107" s="2" t="s">
        <v>1305</v>
      </c>
      <c r="N107" s="14" t="s">
        <v>1595</v>
      </c>
      <c r="O107" s="14" t="s">
        <v>1269</v>
      </c>
      <c r="P107" s="2" t="s">
        <v>5</v>
      </c>
      <c r="Q107" s="10">
        <v>1</v>
      </c>
      <c r="S107" s="10">
        <v>30.75</v>
      </c>
      <c r="W107" s="44">
        <f>Q107*X107</f>
        <v>21.5</v>
      </c>
      <c r="X107" s="44">
        <f>12*Z107</f>
        <v>21.5</v>
      </c>
      <c r="Y107" s="22">
        <f>(W107*20)/S107</f>
        <v>13.983739837398375</v>
      </c>
      <c r="Z107" s="22">
        <f>1+15/20+10/240</f>
        <v>1.7916666666666667</v>
      </c>
      <c r="AD107" s="44"/>
      <c r="AE107">
        <v>1</v>
      </c>
      <c r="AF107">
        <v>15</v>
      </c>
      <c r="AG107">
        <v>10</v>
      </c>
      <c r="AH107" s="22">
        <f>AE107+AF107/20+AG107/240</f>
        <v>1.7916666666666667</v>
      </c>
      <c r="AI107">
        <v>1</v>
      </c>
      <c r="AJ107">
        <v>15</v>
      </c>
      <c r="AK107">
        <v>10</v>
      </c>
      <c r="AL107" s="22">
        <f t="shared" si="25"/>
        <v>1.7916666666666667</v>
      </c>
      <c r="AM107" s="34">
        <f t="shared" si="26"/>
        <v>1.1653116531165313</v>
      </c>
      <c r="AN107" s="34"/>
      <c r="AO107" s="34"/>
      <c r="AP107" s="34"/>
      <c r="AQ107" s="34"/>
      <c r="AR107" s="34"/>
      <c r="AS107" s="34"/>
      <c r="AT107" s="34"/>
      <c r="AU107" s="34"/>
      <c r="AV107" s="34"/>
      <c r="BA107" s="7"/>
      <c r="BR107" s="33"/>
      <c r="BU107" s="20"/>
      <c r="BY107" s="44">
        <f t="shared" si="27"/>
        <v>21.5</v>
      </c>
      <c r="BZ107" s="44">
        <f t="shared" si="28"/>
        <v>21.5</v>
      </c>
      <c r="CL107">
        <f t="shared" si="29"/>
        <v>1459</v>
      </c>
      <c r="CM107" s="2" t="s">
        <v>1305</v>
      </c>
    </row>
    <row r="108" spans="1:92" ht="12.75">
      <c r="A108" s="18">
        <v>1459</v>
      </c>
      <c r="B108" s="14" t="s">
        <v>1117</v>
      </c>
      <c r="C108" s="14" t="s">
        <v>644</v>
      </c>
      <c r="D108" s="14" t="s">
        <v>226</v>
      </c>
      <c r="E108" s="14" t="s">
        <v>32</v>
      </c>
      <c r="F108" s="32" t="s">
        <v>173</v>
      </c>
      <c r="G108" s="2">
        <v>2</v>
      </c>
      <c r="H108" s="2" t="s">
        <v>5</v>
      </c>
      <c r="I108" s="10">
        <v>3</v>
      </c>
      <c r="J108" s="22">
        <v>1.7100694444444444</v>
      </c>
      <c r="K108" s="2" t="s">
        <v>1005</v>
      </c>
      <c r="L108" s="14" t="s">
        <v>415</v>
      </c>
      <c r="M108" s="2" t="s">
        <v>991</v>
      </c>
      <c r="N108" s="14" t="s">
        <v>1595</v>
      </c>
      <c r="O108" s="14" t="s">
        <v>897</v>
      </c>
      <c r="P108" s="2" t="s">
        <v>387</v>
      </c>
      <c r="Q108" s="10">
        <v>3</v>
      </c>
      <c r="S108" s="10">
        <v>98.5</v>
      </c>
      <c r="W108" s="44">
        <f>(S108*Y108)/20</f>
        <v>61.5625</v>
      </c>
      <c r="X108" s="44">
        <f>W108/Q108</f>
        <v>20.520833333333332</v>
      </c>
      <c r="Y108" s="22">
        <f>12*(1+0.5/12)</f>
        <v>12.5</v>
      </c>
      <c r="Z108" s="22">
        <f>X108/12</f>
        <v>1.7100694444444444</v>
      </c>
      <c r="AD108" s="44"/>
      <c r="AH108" s="22">
        <f>Z108*Q108</f>
        <v>5.130208333333333</v>
      </c>
      <c r="AL108" s="22">
        <f t="shared" si="25"/>
        <v>1.7100694444444444</v>
      </c>
      <c r="AM108" s="34">
        <f t="shared" si="26"/>
        <v>1.0416666666666667</v>
      </c>
      <c r="AN108" s="34"/>
      <c r="AO108" s="34"/>
      <c r="AP108" s="34"/>
      <c r="AQ108" s="34"/>
      <c r="AR108" s="34"/>
      <c r="AS108" s="34"/>
      <c r="AT108" s="34"/>
      <c r="AU108" s="34"/>
      <c r="AV108" s="34"/>
      <c r="BB108" s="7"/>
      <c r="BI108" s="22">
        <v>1.7100694444444444</v>
      </c>
      <c r="BR108" s="33"/>
      <c r="BU108" s="20"/>
      <c r="BY108" s="44">
        <f t="shared" si="27"/>
        <v>61.5625</v>
      </c>
      <c r="BZ108" s="44">
        <f t="shared" si="28"/>
        <v>20.520833333333332</v>
      </c>
      <c r="CL108">
        <f t="shared" si="29"/>
        <v>1459</v>
      </c>
      <c r="CM108" s="2" t="s">
        <v>991</v>
      </c>
      <c r="CN108" t="s">
        <v>48</v>
      </c>
    </row>
    <row r="109" spans="1:91" ht="12.75">
      <c r="A109" s="18">
        <v>1459</v>
      </c>
      <c r="B109" s="14" t="s">
        <v>1117</v>
      </c>
      <c r="C109" s="14" t="s">
        <v>644</v>
      </c>
      <c r="D109" s="14" t="s">
        <v>226</v>
      </c>
      <c r="E109" s="14" t="s">
        <v>32</v>
      </c>
      <c r="F109" s="32" t="s">
        <v>173</v>
      </c>
      <c r="G109" s="2">
        <v>2</v>
      </c>
      <c r="H109" s="2" t="s">
        <v>5</v>
      </c>
      <c r="I109" s="10">
        <v>3</v>
      </c>
      <c r="J109" s="22">
        <v>1.579861111111111</v>
      </c>
      <c r="K109" s="2" t="s">
        <v>983</v>
      </c>
      <c r="L109" s="14" t="s">
        <v>415</v>
      </c>
      <c r="M109" s="2" t="s">
        <v>997</v>
      </c>
      <c r="N109" s="14" t="s">
        <v>1595</v>
      </c>
      <c r="O109" s="14" t="s">
        <v>906</v>
      </c>
      <c r="P109" s="2" t="s">
        <v>387</v>
      </c>
      <c r="Q109" s="10">
        <v>3</v>
      </c>
      <c r="S109" s="10">
        <v>91</v>
      </c>
      <c r="W109" s="44">
        <f>(S109*Y109)/20</f>
        <v>56.875</v>
      </c>
      <c r="X109" s="44">
        <f>W109/Q109</f>
        <v>18.958333333333332</v>
      </c>
      <c r="Y109" s="22">
        <f>12*(1+0.5/12)</f>
        <v>12.5</v>
      </c>
      <c r="Z109" s="22">
        <f>X109/12</f>
        <v>1.579861111111111</v>
      </c>
      <c r="AD109" s="44"/>
      <c r="AH109" s="22">
        <f>Z109*Q109</f>
        <v>4.739583333333333</v>
      </c>
      <c r="AL109" s="22">
        <f t="shared" si="25"/>
        <v>1.579861111111111</v>
      </c>
      <c r="AM109" s="34">
        <f t="shared" si="26"/>
        <v>1.0416666666666667</v>
      </c>
      <c r="AN109" s="34"/>
      <c r="AO109" s="34"/>
      <c r="AP109" s="34"/>
      <c r="AQ109" s="34"/>
      <c r="AR109" s="34"/>
      <c r="AS109" s="34"/>
      <c r="AT109" s="34"/>
      <c r="AU109" s="34"/>
      <c r="AV109" s="34"/>
      <c r="BD109" s="7"/>
      <c r="BI109" s="22">
        <v>1.579861111111111</v>
      </c>
      <c r="BR109" s="33"/>
      <c r="BU109" s="20"/>
      <c r="BY109" s="44">
        <f t="shared" si="27"/>
        <v>56.875</v>
      </c>
      <c r="BZ109" s="44">
        <f t="shared" si="28"/>
        <v>18.958333333333332</v>
      </c>
      <c r="CL109">
        <f t="shared" si="29"/>
        <v>1459</v>
      </c>
      <c r="CM109" s="2" t="s">
        <v>997</v>
      </c>
    </row>
    <row r="110" spans="1:91" ht="12.75">
      <c r="A110" s="18"/>
      <c r="E110" s="14"/>
      <c r="F110" s="32"/>
      <c r="G110" s="2"/>
      <c r="M110" s="2"/>
      <c r="W110" s="44"/>
      <c r="X110" s="44"/>
      <c r="AD110" s="44"/>
      <c r="AH110" s="22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BI110" s="7"/>
      <c r="BR110" s="33"/>
      <c r="BU110" s="20"/>
      <c r="CM110" s="2"/>
    </row>
    <row r="111" spans="1:91" ht="12.75">
      <c r="A111" s="18">
        <v>1459</v>
      </c>
      <c r="B111" s="14" t="s">
        <v>1239</v>
      </c>
      <c r="C111" s="14" t="s">
        <v>644</v>
      </c>
      <c r="D111" s="14" t="s">
        <v>227</v>
      </c>
      <c r="E111" s="14" t="s">
        <v>29</v>
      </c>
      <c r="F111" s="32" t="s">
        <v>178</v>
      </c>
      <c r="G111" s="2"/>
      <c r="H111" s="2" t="s">
        <v>5</v>
      </c>
      <c r="I111" s="10">
        <v>11</v>
      </c>
      <c r="J111" s="22">
        <v>6</v>
      </c>
      <c r="K111" s="2" t="s">
        <v>853</v>
      </c>
      <c r="L111" s="14" t="s">
        <v>415</v>
      </c>
      <c r="M111" s="2" t="s">
        <v>855</v>
      </c>
      <c r="N111" s="14" t="s">
        <v>1511</v>
      </c>
      <c r="O111" s="14" t="s">
        <v>906</v>
      </c>
      <c r="P111" s="2" t="s">
        <v>1660</v>
      </c>
      <c r="Q111" s="10">
        <v>11</v>
      </c>
      <c r="W111" s="44">
        <f>Q111*X111</f>
        <v>792</v>
      </c>
      <c r="X111" s="44">
        <f>12*Z111</f>
        <v>72</v>
      </c>
      <c r="Z111" s="22">
        <v>6</v>
      </c>
      <c r="AD111" s="44"/>
      <c r="AH111" s="22">
        <f>Z111*Q111</f>
        <v>66</v>
      </c>
      <c r="AI111">
        <v>6</v>
      </c>
      <c r="AJ111">
        <v>0</v>
      </c>
      <c r="AK111">
        <v>0</v>
      </c>
      <c r="AL111" s="22">
        <f>Z111*1</f>
        <v>6</v>
      </c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BI111" s="7"/>
      <c r="BR111" s="33"/>
      <c r="BU111" s="20"/>
      <c r="BY111" s="44">
        <f>W111+(BQ111*12*Q111)+BV111</f>
        <v>792</v>
      </c>
      <c r="BZ111" s="44">
        <f>BY111/Q111</f>
        <v>72</v>
      </c>
      <c r="CL111">
        <f>A111*1</f>
        <v>1459</v>
      </c>
      <c r="CM111" s="2" t="s">
        <v>855</v>
      </c>
    </row>
    <row r="112" spans="1:91" ht="12.75">
      <c r="A112" s="18">
        <v>1459</v>
      </c>
      <c r="B112" s="14" t="s">
        <v>1239</v>
      </c>
      <c r="C112" s="14" t="s">
        <v>644</v>
      </c>
      <c r="D112" s="14" t="s">
        <v>227</v>
      </c>
      <c r="E112" s="14" t="s">
        <v>29</v>
      </c>
      <c r="F112" s="32" t="s">
        <v>179</v>
      </c>
      <c r="G112" s="2"/>
      <c r="H112" s="2" t="s">
        <v>537</v>
      </c>
      <c r="I112" s="10">
        <v>5</v>
      </c>
      <c r="J112" s="22">
        <v>7.5</v>
      </c>
      <c r="K112" s="2" t="s">
        <v>829</v>
      </c>
      <c r="L112" s="14" t="s">
        <v>415</v>
      </c>
      <c r="M112" s="2" t="s">
        <v>575</v>
      </c>
      <c r="N112" s="14" t="s">
        <v>509</v>
      </c>
      <c r="O112" s="14" t="s">
        <v>1611</v>
      </c>
      <c r="P112" s="2" t="s">
        <v>1660</v>
      </c>
      <c r="Q112" s="10">
        <v>5</v>
      </c>
      <c r="W112" s="44">
        <f>Q112*X112</f>
        <v>450</v>
      </c>
      <c r="X112" s="44">
        <f>12*Z112</f>
        <v>90</v>
      </c>
      <c r="Z112" s="22">
        <f>7+10/20</f>
        <v>7.5</v>
      </c>
      <c r="AD112" s="44"/>
      <c r="AH112" s="22">
        <f>Z112*Q112</f>
        <v>37.5</v>
      </c>
      <c r="AI112">
        <v>7</v>
      </c>
      <c r="AJ112">
        <v>10</v>
      </c>
      <c r="AK112">
        <v>0</v>
      </c>
      <c r="AL112" s="22">
        <f>Z112*1</f>
        <v>7.5</v>
      </c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BU112" s="20"/>
      <c r="BY112" s="44">
        <f>W112+(BQ112*12*Q112)+BV112</f>
        <v>450</v>
      </c>
      <c r="BZ112" s="44">
        <f>BY112/Q112</f>
        <v>90</v>
      </c>
      <c r="CL112">
        <f>A112*1</f>
        <v>1459</v>
      </c>
      <c r="CM112" s="2" t="s">
        <v>575</v>
      </c>
    </row>
    <row r="113" spans="1:91" ht="12.75">
      <c r="A113" s="18"/>
      <c r="E113" s="14"/>
      <c r="F113" s="32"/>
      <c r="G113" s="2"/>
      <c r="M113" s="2"/>
      <c r="W113" s="44"/>
      <c r="X113" s="44"/>
      <c r="AD113" s="44"/>
      <c r="AH113" s="22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Y113" s="7"/>
      <c r="BF113" s="7"/>
      <c r="BG113" s="19"/>
      <c r="BH113" s="19"/>
      <c r="BR113" s="33"/>
      <c r="BU113" s="20"/>
      <c r="BY113" s="44"/>
      <c r="BZ113" s="44"/>
      <c r="CM113" s="2"/>
    </row>
    <row r="114" spans="1:91" ht="12.75">
      <c r="A114" s="18">
        <v>1460</v>
      </c>
      <c r="B114" s="14" t="s">
        <v>1117</v>
      </c>
      <c r="C114" s="14" t="s">
        <v>644</v>
      </c>
      <c r="D114" s="14" t="s">
        <v>227</v>
      </c>
      <c r="E114" s="14" t="s">
        <v>30</v>
      </c>
      <c r="F114" s="32" t="s">
        <v>180</v>
      </c>
      <c r="G114" s="2">
        <v>1</v>
      </c>
      <c r="H114" s="2" t="s">
        <v>537</v>
      </c>
      <c r="I114" s="10">
        <v>5</v>
      </c>
      <c r="J114" s="22">
        <v>6</v>
      </c>
      <c r="K114" s="2" t="s">
        <v>487</v>
      </c>
      <c r="L114" s="14" t="s">
        <v>415</v>
      </c>
      <c r="M114" s="2" t="s">
        <v>549</v>
      </c>
      <c r="N114" s="14" t="s">
        <v>509</v>
      </c>
      <c r="O114" s="14" t="s">
        <v>416</v>
      </c>
      <c r="P114" s="2" t="s">
        <v>618</v>
      </c>
      <c r="Q114" s="10">
        <v>5</v>
      </c>
      <c r="W114" s="44">
        <f aca="true" t="shared" si="30" ref="W114:W120">Q114*X114</f>
        <v>360</v>
      </c>
      <c r="X114" s="44">
        <f aca="true" t="shared" si="31" ref="X114:X120">12*Z114</f>
        <v>72</v>
      </c>
      <c r="Z114" s="22">
        <v>6</v>
      </c>
      <c r="AD114" s="44"/>
      <c r="AH114" s="22">
        <f>Z114*Q114</f>
        <v>30</v>
      </c>
      <c r="AI114">
        <v>6</v>
      </c>
      <c r="AJ114">
        <v>0</v>
      </c>
      <c r="AK114">
        <v>0</v>
      </c>
      <c r="AL114" s="22">
        <f aca="true" t="shared" si="32" ref="AL114:AL120">Z114*1</f>
        <v>6</v>
      </c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Y114" s="7"/>
      <c r="BF114" s="7"/>
      <c r="BG114" s="19"/>
      <c r="BH114" s="19"/>
      <c r="BI114" s="22"/>
      <c r="BR114" s="33"/>
      <c r="BU114" s="20"/>
      <c r="BY114" s="44">
        <f aca="true" t="shared" si="33" ref="BY114:BY120">W114+(BQ114*12*Q114)+BV114</f>
        <v>360</v>
      </c>
      <c r="BZ114" s="44">
        <f aca="true" t="shared" si="34" ref="BZ114:BZ120">BY114/Q114</f>
        <v>72</v>
      </c>
      <c r="CL114">
        <f aca="true" t="shared" si="35" ref="CL114:CL120">A114*1</f>
        <v>1460</v>
      </c>
      <c r="CM114" s="2" t="s">
        <v>549</v>
      </c>
    </row>
    <row r="115" spans="1:91" ht="12.75">
      <c r="A115" s="18">
        <v>1460</v>
      </c>
      <c r="B115" s="14" t="s">
        <v>1117</v>
      </c>
      <c r="C115" s="14" t="s">
        <v>644</v>
      </c>
      <c r="D115" s="14" t="s">
        <v>227</v>
      </c>
      <c r="E115" s="14" t="s">
        <v>30</v>
      </c>
      <c r="F115" s="32" t="s">
        <v>181</v>
      </c>
      <c r="G115" s="2">
        <v>1</v>
      </c>
      <c r="H115" s="2" t="s">
        <v>537</v>
      </c>
      <c r="I115" s="10">
        <v>5</v>
      </c>
      <c r="J115" s="22">
        <v>6.25</v>
      </c>
      <c r="K115" s="2" t="s">
        <v>978</v>
      </c>
      <c r="L115" s="14" t="s">
        <v>415</v>
      </c>
      <c r="M115" s="2" t="s">
        <v>568</v>
      </c>
      <c r="N115" s="14" t="s">
        <v>509</v>
      </c>
      <c r="O115" s="14" t="s">
        <v>906</v>
      </c>
      <c r="P115" s="2" t="s">
        <v>618</v>
      </c>
      <c r="Q115" s="10">
        <v>5</v>
      </c>
      <c r="W115" s="44">
        <f t="shared" si="30"/>
        <v>375</v>
      </c>
      <c r="X115" s="44">
        <f t="shared" si="31"/>
        <v>75</v>
      </c>
      <c r="Z115" s="22">
        <f>6+5/20</f>
        <v>6.25</v>
      </c>
      <c r="AD115" s="44"/>
      <c r="AH115" s="22">
        <f>Z115*Q115</f>
        <v>31.25</v>
      </c>
      <c r="AI115">
        <v>6</v>
      </c>
      <c r="AJ115">
        <v>5</v>
      </c>
      <c r="AK115">
        <v>0</v>
      </c>
      <c r="AL115" s="22">
        <f t="shared" si="32"/>
        <v>6.25</v>
      </c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BI115" s="22"/>
      <c r="BR115" s="33"/>
      <c r="BU115" s="20"/>
      <c r="BY115" s="44">
        <f t="shared" si="33"/>
        <v>375</v>
      </c>
      <c r="BZ115" s="44">
        <f t="shared" si="34"/>
        <v>75</v>
      </c>
      <c r="CL115">
        <f t="shared" si="35"/>
        <v>1460</v>
      </c>
      <c r="CM115" s="2" t="s">
        <v>568</v>
      </c>
    </row>
    <row r="116" spans="1:91" ht="12.75">
      <c r="A116" s="18">
        <v>1460</v>
      </c>
      <c r="B116" s="14" t="s">
        <v>1117</v>
      </c>
      <c r="C116" s="14" t="s">
        <v>644</v>
      </c>
      <c r="D116" s="14" t="s">
        <v>227</v>
      </c>
      <c r="E116" s="14" t="s">
        <v>30</v>
      </c>
      <c r="F116" s="32" t="s">
        <v>182</v>
      </c>
      <c r="G116" s="2">
        <v>1</v>
      </c>
      <c r="H116" s="2" t="s">
        <v>537</v>
      </c>
      <c r="I116" s="10">
        <v>4</v>
      </c>
      <c r="J116" s="22">
        <v>6.6</v>
      </c>
      <c r="K116" s="2" t="s">
        <v>961</v>
      </c>
      <c r="L116" s="14" t="s">
        <v>415</v>
      </c>
      <c r="M116" s="2" t="s">
        <v>549</v>
      </c>
      <c r="N116" s="14" t="s">
        <v>509</v>
      </c>
      <c r="O116" s="14" t="s">
        <v>416</v>
      </c>
      <c r="P116" s="2" t="s">
        <v>1281</v>
      </c>
      <c r="Q116" s="10">
        <v>4</v>
      </c>
      <c r="W116" s="44">
        <f t="shared" si="30"/>
        <v>316.79999999999995</v>
      </c>
      <c r="X116" s="44">
        <f t="shared" si="31"/>
        <v>79.19999999999999</v>
      </c>
      <c r="Z116" s="22">
        <f>6+12/20</f>
        <v>6.6</v>
      </c>
      <c r="AD116" s="44"/>
      <c r="AH116" s="22">
        <f>Z116*Q116</f>
        <v>26.4</v>
      </c>
      <c r="AI116">
        <v>6</v>
      </c>
      <c r="AJ116">
        <v>12</v>
      </c>
      <c r="AK116">
        <v>0</v>
      </c>
      <c r="AL116" s="22">
        <f t="shared" si="32"/>
        <v>6.6</v>
      </c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Z116" s="22">
        <v>6.6</v>
      </c>
      <c r="BI116" s="22">
        <v>6.6</v>
      </c>
      <c r="BR116" s="33"/>
      <c r="BU116" s="20"/>
      <c r="BY116" s="44">
        <f t="shared" si="33"/>
        <v>316.79999999999995</v>
      </c>
      <c r="BZ116" s="44">
        <f t="shared" si="34"/>
        <v>79.19999999999999</v>
      </c>
      <c r="CL116">
        <f t="shared" si="35"/>
        <v>1460</v>
      </c>
      <c r="CM116" s="2" t="s">
        <v>549</v>
      </c>
    </row>
    <row r="117" spans="1:91" ht="12.75">
      <c r="A117" s="18">
        <v>1460</v>
      </c>
      <c r="B117" s="14" t="s">
        <v>1117</v>
      </c>
      <c r="C117" s="14" t="s">
        <v>644</v>
      </c>
      <c r="D117" s="14" t="s">
        <v>227</v>
      </c>
      <c r="E117" s="14" t="s">
        <v>30</v>
      </c>
      <c r="F117" s="32" t="s">
        <v>183</v>
      </c>
      <c r="G117" s="2">
        <v>1</v>
      </c>
      <c r="H117" s="2" t="s">
        <v>537</v>
      </c>
      <c r="I117" s="10">
        <v>2</v>
      </c>
      <c r="J117" s="22">
        <v>6.5</v>
      </c>
      <c r="K117" s="2" t="s">
        <v>880</v>
      </c>
      <c r="L117" s="14" t="s">
        <v>415</v>
      </c>
      <c r="M117" s="2" t="s">
        <v>548</v>
      </c>
      <c r="N117" s="14" t="s">
        <v>509</v>
      </c>
      <c r="O117" s="14" t="s">
        <v>437</v>
      </c>
      <c r="P117" s="2" t="s">
        <v>931</v>
      </c>
      <c r="Q117" s="10">
        <v>2</v>
      </c>
      <c r="W117" s="44">
        <f t="shared" si="30"/>
        <v>156</v>
      </c>
      <c r="X117" s="44">
        <f t="shared" si="31"/>
        <v>78</v>
      </c>
      <c r="Z117" s="22">
        <f>6+10/20</f>
        <v>6.5</v>
      </c>
      <c r="AD117" s="44"/>
      <c r="AH117" s="22">
        <f>Z117*Q117</f>
        <v>13</v>
      </c>
      <c r="AI117">
        <v>6</v>
      </c>
      <c r="AJ117">
        <v>10</v>
      </c>
      <c r="AK117">
        <v>0</v>
      </c>
      <c r="AL117" s="22">
        <f t="shared" si="32"/>
        <v>6.5</v>
      </c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BI117" s="22">
        <v>6.5</v>
      </c>
      <c r="BR117" s="33"/>
      <c r="BU117" s="20"/>
      <c r="BY117" s="44">
        <f t="shared" si="33"/>
        <v>156</v>
      </c>
      <c r="BZ117" s="44">
        <f t="shared" si="34"/>
        <v>78</v>
      </c>
      <c r="CL117">
        <f t="shared" si="35"/>
        <v>1460</v>
      </c>
      <c r="CM117" s="2" t="s">
        <v>548</v>
      </c>
    </row>
    <row r="118" spans="1:91" ht="12.75">
      <c r="A118" s="18">
        <v>1460</v>
      </c>
      <c r="B118" s="14" t="s">
        <v>1117</v>
      </c>
      <c r="C118" s="14" t="s">
        <v>644</v>
      </c>
      <c r="D118" s="14" t="s">
        <v>227</v>
      </c>
      <c r="E118" s="14" t="s">
        <v>30</v>
      </c>
      <c r="F118" s="32" t="s">
        <v>184</v>
      </c>
      <c r="G118" s="2">
        <v>1</v>
      </c>
      <c r="H118" s="2" t="s">
        <v>1652</v>
      </c>
      <c r="I118" s="10">
        <v>2</v>
      </c>
      <c r="J118" s="22">
        <v>2.9</v>
      </c>
      <c r="K118" s="2" t="s">
        <v>493</v>
      </c>
      <c r="L118" s="14" t="s">
        <v>415</v>
      </c>
      <c r="M118" s="2" t="s">
        <v>1654</v>
      </c>
      <c r="N118" s="14" t="s">
        <v>1648</v>
      </c>
      <c r="O118" s="14" t="s">
        <v>416</v>
      </c>
      <c r="P118" s="2" t="s">
        <v>1340</v>
      </c>
      <c r="Q118" s="10">
        <v>2</v>
      </c>
      <c r="W118" s="44">
        <f t="shared" si="30"/>
        <v>69.6</v>
      </c>
      <c r="X118" s="44">
        <f t="shared" si="31"/>
        <v>34.8</v>
      </c>
      <c r="Z118" s="22">
        <f>2+18/20</f>
        <v>2.9</v>
      </c>
      <c r="AD118" s="44"/>
      <c r="AH118" s="22">
        <f>Z118*Q118</f>
        <v>5.8</v>
      </c>
      <c r="AI118">
        <v>2</v>
      </c>
      <c r="AJ118">
        <v>18</v>
      </c>
      <c r="AK118">
        <v>0</v>
      </c>
      <c r="AL118" s="22">
        <f t="shared" si="32"/>
        <v>2.9</v>
      </c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BI118" s="22">
        <v>2.9</v>
      </c>
      <c r="BR118" s="33"/>
      <c r="BU118" s="20"/>
      <c r="BY118" s="44">
        <f t="shared" si="33"/>
        <v>69.6</v>
      </c>
      <c r="BZ118" s="44">
        <f t="shared" si="34"/>
        <v>34.8</v>
      </c>
      <c r="CL118">
        <f t="shared" si="35"/>
        <v>1460</v>
      </c>
      <c r="CM118" s="2" t="s">
        <v>1654</v>
      </c>
    </row>
    <row r="119" spans="1:91" ht="12.75">
      <c r="A119" s="18">
        <v>1460</v>
      </c>
      <c r="B119" s="14" t="s">
        <v>1117</v>
      </c>
      <c r="C119" s="14" t="s">
        <v>644</v>
      </c>
      <c r="D119" s="14" t="s">
        <v>227</v>
      </c>
      <c r="E119" s="14" t="s">
        <v>30</v>
      </c>
      <c r="F119" s="32" t="s">
        <v>185</v>
      </c>
      <c r="G119" s="2">
        <v>1</v>
      </c>
      <c r="H119" s="2" t="s">
        <v>537</v>
      </c>
      <c r="I119" s="10">
        <v>3.5</v>
      </c>
      <c r="J119" s="22">
        <v>2.9</v>
      </c>
      <c r="K119" s="2" t="s">
        <v>535</v>
      </c>
      <c r="L119" s="14" t="s">
        <v>415</v>
      </c>
      <c r="M119" s="2" t="s">
        <v>542</v>
      </c>
      <c r="N119" s="14" t="s">
        <v>509</v>
      </c>
      <c r="O119" s="14" t="s">
        <v>437</v>
      </c>
      <c r="P119" s="2" t="s">
        <v>1513</v>
      </c>
      <c r="Q119" s="10">
        <v>3.5</v>
      </c>
      <c r="W119" s="44">
        <f t="shared" si="30"/>
        <v>121.79999999999998</v>
      </c>
      <c r="X119" s="44">
        <f t="shared" si="31"/>
        <v>34.8</v>
      </c>
      <c r="Z119" s="22">
        <f>2+18/20</f>
        <v>2.9</v>
      </c>
      <c r="AD119" s="44"/>
      <c r="AE119">
        <v>10</v>
      </c>
      <c r="AF119">
        <v>3</v>
      </c>
      <c r="AG119">
        <v>0</v>
      </c>
      <c r="AH119" s="22">
        <f>AE119+AF119/20+AG119/240</f>
        <v>10.15</v>
      </c>
      <c r="AI119">
        <v>2</v>
      </c>
      <c r="AJ119">
        <v>18</v>
      </c>
      <c r="AK119">
        <v>0</v>
      </c>
      <c r="AL119" s="22">
        <f t="shared" si="32"/>
        <v>2.9</v>
      </c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BE119" s="7"/>
      <c r="BF119" s="22">
        <v>2.9</v>
      </c>
      <c r="BI119" s="22">
        <v>2.9</v>
      </c>
      <c r="BR119" s="33"/>
      <c r="BU119" s="20"/>
      <c r="BY119" s="44">
        <f t="shared" si="33"/>
        <v>121.79999999999998</v>
      </c>
      <c r="BZ119" s="44">
        <f t="shared" si="34"/>
        <v>34.8</v>
      </c>
      <c r="CL119">
        <f t="shared" si="35"/>
        <v>1460</v>
      </c>
      <c r="CM119" s="2" t="s">
        <v>542</v>
      </c>
    </row>
    <row r="120" spans="1:91" ht="12.75">
      <c r="A120" s="18">
        <v>1460</v>
      </c>
      <c r="B120" s="14" t="s">
        <v>1117</v>
      </c>
      <c r="C120" s="14" t="s">
        <v>644</v>
      </c>
      <c r="D120" s="14" t="s">
        <v>227</v>
      </c>
      <c r="E120" s="14" t="s">
        <v>30</v>
      </c>
      <c r="F120" s="32" t="s">
        <v>186</v>
      </c>
      <c r="G120" s="2">
        <v>1</v>
      </c>
      <c r="H120" s="2" t="s">
        <v>537</v>
      </c>
      <c r="I120" s="10">
        <v>4</v>
      </c>
      <c r="J120" s="22">
        <v>2.9</v>
      </c>
      <c r="K120" s="2" t="s">
        <v>535</v>
      </c>
      <c r="L120" s="14" t="s">
        <v>415</v>
      </c>
      <c r="M120" s="2" t="s">
        <v>542</v>
      </c>
      <c r="N120" s="14" t="s">
        <v>509</v>
      </c>
      <c r="O120" s="14" t="s">
        <v>437</v>
      </c>
      <c r="P120" s="2" t="s">
        <v>1513</v>
      </c>
      <c r="Q120" s="10">
        <v>4</v>
      </c>
      <c r="W120" s="44">
        <f t="shared" si="30"/>
        <v>139.2</v>
      </c>
      <c r="X120" s="44">
        <f t="shared" si="31"/>
        <v>34.8</v>
      </c>
      <c r="Z120" s="22">
        <f>2+18/20</f>
        <v>2.9</v>
      </c>
      <c r="AD120" s="44"/>
      <c r="AE120">
        <v>11</v>
      </c>
      <c r="AF120">
        <v>12</v>
      </c>
      <c r="AG120">
        <v>0</v>
      </c>
      <c r="AH120" s="22">
        <f>AE120+AF120/20+AG120/240</f>
        <v>11.6</v>
      </c>
      <c r="AI120">
        <v>2</v>
      </c>
      <c r="AJ120">
        <v>18</v>
      </c>
      <c r="AK120">
        <v>0</v>
      </c>
      <c r="AL120" s="22">
        <f t="shared" si="32"/>
        <v>2.9</v>
      </c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BF120" s="22">
        <v>2.9</v>
      </c>
      <c r="BI120" s="22">
        <v>2.9</v>
      </c>
      <c r="BR120" s="33"/>
      <c r="BU120" s="20"/>
      <c r="BY120" s="44">
        <f t="shared" si="33"/>
        <v>139.2</v>
      </c>
      <c r="BZ120" s="44">
        <f t="shared" si="34"/>
        <v>34.8</v>
      </c>
      <c r="CL120">
        <f t="shared" si="35"/>
        <v>1460</v>
      </c>
      <c r="CM120" s="2" t="s">
        <v>542</v>
      </c>
    </row>
    <row r="121" spans="1:91" ht="12.75">
      <c r="A121" s="18"/>
      <c r="E121" s="14"/>
      <c r="F121" s="32"/>
      <c r="G121" s="2"/>
      <c r="J121" s="22"/>
      <c r="M121" s="2"/>
      <c r="W121" s="44"/>
      <c r="X121" s="44"/>
      <c r="AD121" s="44"/>
      <c r="AH121" s="22"/>
      <c r="AL121" s="22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BR121" s="33"/>
      <c r="BU121" s="20"/>
      <c r="BY121" s="44"/>
      <c r="BZ121" s="44"/>
      <c r="CM121" s="2"/>
    </row>
    <row r="122" spans="1:91" ht="12.75">
      <c r="A122" s="18">
        <v>1460</v>
      </c>
      <c r="B122" s="14" t="s">
        <v>1117</v>
      </c>
      <c r="C122" s="14" t="s">
        <v>644</v>
      </c>
      <c r="D122" s="14" t="s">
        <v>227</v>
      </c>
      <c r="E122" s="14" t="s">
        <v>30</v>
      </c>
      <c r="F122" s="32" t="s">
        <v>187</v>
      </c>
      <c r="G122" s="2">
        <v>2</v>
      </c>
      <c r="H122" t="s">
        <v>537</v>
      </c>
      <c r="I122" s="10">
        <v>7</v>
      </c>
      <c r="J122" s="22">
        <v>2.9</v>
      </c>
      <c r="K122" t="s">
        <v>531</v>
      </c>
      <c r="L122" s="14" t="s">
        <v>415</v>
      </c>
      <c r="M122" s="2" t="s">
        <v>590</v>
      </c>
      <c r="N122" s="14" t="s">
        <v>509</v>
      </c>
      <c r="O122" s="14" t="s">
        <v>1350</v>
      </c>
      <c r="P122" s="2" t="s">
        <v>920</v>
      </c>
      <c r="Q122" s="10">
        <v>7</v>
      </c>
      <c r="W122" s="44">
        <f>Q122*X122</f>
        <v>243.59999999999997</v>
      </c>
      <c r="X122" s="44">
        <f>12*Z122</f>
        <v>34.8</v>
      </c>
      <c r="Z122" s="22">
        <f>2+18/20</f>
        <v>2.9</v>
      </c>
      <c r="AH122" s="22">
        <f>Z122*Q122</f>
        <v>20.3</v>
      </c>
      <c r="AI122">
        <v>2</v>
      </c>
      <c r="AJ122">
        <v>18</v>
      </c>
      <c r="AK122">
        <v>0</v>
      </c>
      <c r="AL122" s="22">
        <f>Z122*1</f>
        <v>2.9</v>
      </c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BI122" s="22">
        <v>2.9</v>
      </c>
      <c r="BU122" s="20"/>
      <c r="BY122" s="44">
        <f>W122+(BQ122*12*Q122)+BV122</f>
        <v>243.59999999999997</v>
      </c>
      <c r="BZ122" s="44">
        <f>BY122/Q122</f>
        <v>34.8</v>
      </c>
      <c r="CL122">
        <f>A122*1</f>
        <v>1460</v>
      </c>
      <c r="CM122" s="2" t="s">
        <v>590</v>
      </c>
    </row>
    <row r="123" spans="1:92" ht="12.75">
      <c r="A123" s="18">
        <v>1460</v>
      </c>
      <c r="B123" s="14" t="s">
        <v>1117</v>
      </c>
      <c r="C123" s="14" t="s">
        <v>644</v>
      </c>
      <c r="D123" s="14" t="s">
        <v>227</v>
      </c>
      <c r="E123" s="14" t="s">
        <v>30</v>
      </c>
      <c r="F123" s="32" t="s">
        <v>188</v>
      </c>
      <c r="G123" s="2">
        <v>2</v>
      </c>
      <c r="H123" t="s">
        <v>5</v>
      </c>
      <c r="J123" s="22"/>
      <c r="K123" t="s">
        <v>792</v>
      </c>
      <c r="L123" s="14" t="s">
        <v>415</v>
      </c>
      <c r="M123" s="2" t="s">
        <v>777</v>
      </c>
      <c r="N123" s="14" t="s">
        <v>1595</v>
      </c>
      <c r="O123" s="14" t="s">
        <v>437</v>
      </c>
      <c r="P123" s="2" t="s">
        <v>5</v>
      </c>
      <c r="R123" s="10">
        <v>48</v>
      </c>
      <c r="W123" s="44">
        <f>(R123*Y123)/20</f>
        <v>38.4</v>
      </c>
      <c r="Y123" s="22">
        <v>16</v>
      </c>
      <c r="AD123" s="44"/>
      <c r="AH123" s="22">
        <f>W123/12</f>
        <v>3.1999999999999997</v>
      </c>
      <c r="AL123" s="22"/>
      <c r="AM123" s="34">
        <f>Y123/12</f>
        <v>1.3333333333333333</v>
      </c>
      <c r="AN123" s="34"/>
      <c r="AO123" s="34"/>
      <c r="AP123" s="34"/>
      <c r="AQ123" s="34"/>
      <c r="AR123" s="34"/>
      <c r="AS123" s="34"/>
      <c r="AT123" s="34"/>
      <c r="AU123" s="34"/>
      <c r="AV123" s="34"/>
      <c r="BA123" s="7"/>
      <c r="BR123" s="33"/>
      <c r="BU123" s="20"/>
      <c r="BY123" s="44">
        <f>W123+(BQ123*12*Q123)+BV123</f>
        <v>38.4</v>
      </c>
      <c r="CL123">
        <f>A123*1</f>
        <v>1460</v>
      </c>
      <c r="CM123" s="2" t="s">
        <v>777</v>
      </c>
      <c r="CN123" t="s">
        <v>83</v>
      </c>
    </row>
    <row r="124" spans="1:91" ht="12.75">
      <c r="A124" s="18">
        <v>1460</v>
      </c>
      <c r="B124" s="14" t="s">
        <v>1117</v>
      </c>
      <c r="C124" s="14" t="s">
        <v>644</v>
      </c>
      <c r="D124" s="14" t="s">
        <v>227</v>
      </c>
      <c r="E124" s="14" t="s">
        <v>30</v>
      </c>
      <c r="F124" s="32" t="s">
        <v>189</v>
      </c>
      <c r="G124" s="2">
        <v>2</v>
      </c>
      <c r="H124" t="s">
        <v>5</v>
      </c>
      <c r="J124" s="22"/>
      <c r="K124" t="s">
        <v>785</v>
      </c>
      <c r="L124" s="14" t="s">
        <v>415</v>
      </c>
      <c r="M124" s="2" t="s">
        <v>791</v>
      </c>
      <c r="N124" s="14" t="s">
        <v>1595</v>
      </c>
      <c r="O124" s="14" t="s">
        <v>1706</v>
      </c>
      <c r="P124" s="2" t="s">
        <v>5</v>
      </c>
      <c r="R124" s="10">
        <v>46</v>
      </c>
      <c r="W124" s="44">
        <f>(R124*Y124)/20</f>
        <v>36.8</v>
      </c>
      <c r="Y124" s="22">
        <v>16</v>
      </c>
      <c r="AD124" s="44"/>
      <c r="AH124" s="22">
        <f>W124/12</f>
        <v>3.0666666666666664</v>
      </c>
      <c r="AL124" s="22"/>
      <c r="AM124" s="34">
        <f>Y124/12</f>
        <v>1.3333333333333333</v>
      </c>
      <c r="AN124" s="34"/>
      <c r="AO124" s="34"/>
      <c r="AP124" s="34"/>
      <c r="AQ124" s="34"/>
      <c r="AR124" s="34"/>
      <c r="AS124" s="34"/>
      <c r="AT124" s="34"/>
      <c r="AU124" s="34"/>
      <c r="AV124" s="34"/>
      <c r="BB124" s="7"/>
      <c r="BR124" s="33"/>
      <c r="BU124" s="20"/>
      <c r="BY124" s="44">
        <f>W124+(BQ124*12*Q124)+BV124</f>
        <v>36.8</v>
      </c>
      <c r="CL124">
        <f>A124*1</f>
        <v>1460</v>
      </c>
      <c r="CM124" s="2" t="s">
        <v>791</v>
      </c>
    </row>
    <row r="125" spans="1:92" ht="12.75">
      <c r="A125" s="18">
        <v>1460</v>
      </c>
      <c r="B125" s="14" t="s">
        <v>1117</v>
      </c>
      <c r="C125" s="14" t="s">
        <v>644</v>
      </c>
      <c r="D125" s="14" t="s">
        <v>227</v>
      </c>
      <c r="E125" s="14" t="s">
        <v>30</v>
      </c>
      <c r="F125" s="32" t="s">
        <v>190</v>
      </c>
      <c r="G125" s="2">
        <v>2</v>
      </c>
      <c r="H125" t="s">
        <v>5</v>
      </c>
      <c r="J125" s="22"/>
      <c r="K125" t="s">
        <v>790</v>
      </c>
      <c r="L125" s="14" t="s">
        <v>415</v>
      </c>
      <c r="M125" t="s">
        <v>789</v>
      </c>
      <c r="N125" s="14" t="s">
        <v>1633</v>
      </c>
      <c r="O125" s="14" t="s">
        <v>5</v>
      </c>
      <c r="P125" s="2" t="s">
        <v>5</v>
      </c>
      <c r="R125" s="10">
        <v>93</v>
      </c>
      <c r="W125" s="44">
        <f>12*(2+15/20+4/240)</f>
        <v>33.2</v>
      </c>
      <c r="Y125" s="22">
        <f>(W125*20)/R125</f>
        <v>7.139784946236559</v>
      </c>
      <c r="AD125" s="44"/>
      <c r="AE125">
        <v>2</v>
      </c>
      <c r="AF125">
        <v>15</v>
      </c>
      <c r="AG125">
        <v>4</v>
      </c>
      <c r="AH125" s="22">
        <f>AE125+AF125/20+AG125/240</f>
        <v>2.7666666666666666</v>
      </c>
      <c r="AL125" s="22"/>
      <c r="AM125" s="34">
        <f>Y125/12</f>
        <v>0.5949820788530465</v>
      </c>
      <c r="AN125" s="34"/>
      <c r="AO125" s="34"/>
      <c r="AP125" s="34"/>
      <c r="AQ125" s="34"/>
      <c r="AR125" s="34"/>
      <c r="AS125" s="34"/>
      <c r="AT125" s="34"/>
      <c r="AU125" s="34"/>
      <c r="AV125" s="34"/>
      <c r="BD125" s="7"/>
      <c r="BR125" s="33"/>
      <c r="BU125" s="20"/>
      <c r="BY125" s="44">
        <f>W125+(BQ125*12*Q125)+BV125</f>
        <v>33.2</v>
      </c>
      <c r="CL125">
        <f>A125*1</f>
        <v>1460</v>
      </c>
      <c r="CM125" t="s">
        <v>789</v>
      </c>
      <c r="CN125" t="s">
        <v>47</v>
      </c>
    </row>
    <row r="126" spans="1:91" ht="12.75">
      <c r="A126" s="18"/>
      <c r="E126" s="14"/>
      <c r="F126" s="32"/>
      <c r="G126" s="2"/>
      <c r="M126" s="2"/>
      <c r="AD126" s="44"/>
      <c r="AH126" s="22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BI126" s="7"/>
      <c r="BR126" s="33"/>
      <c r="BU126" s="20"/>
      <c r="CM126" s="2"/>
    </row>
    <row r="127" spans="1:91" ht="12.75">
      <c r="A127" s="18">
        <v>1460</v>
      </c>
      <c r="B127" s="14" t="s">
        <v>1239</v>
      </c>
      <c r="C127" s="14" t="s">
        <v>644</v>
      </c>
      <c r="D127" s="14" t="s">
        <v>228</v>
      </c>
      <c r="E127" s="14" t="s">
        <v>36</v>
      </c>
      <c r="F127" s="32" t="s">
        <v>191</v>
      </c>
      <c r="G127" s="2"/>
      <c r="H127" s="2" t="s">
        <v>537</v>
      </c>
      <c r="I127" s="10">
        <v>5</v>
      </c>
      <c r="J127" s="22">
        <v>6</v>
      </c>
      <c r="K127" s="2" t="s">
        <v>822</v>
      </c>
      <c r="L127" s="14" t="s">
        <v>415</v>
      </c>
      <c r="M127" s="2" t="s">
        <v>558</v>
      </c>
      <c r="N127" s="14" t="s">
        <v>509</v>
      </c>
      <c r="O127" s="14" t="s">
        <v>5</v>
      </c>
      <c r="P127" s="2" t="s">
        <v>1660</v>
      </c>
      <c r="Q127" s="10">
        <v>5</v>
      </c>
      <c r="W127" s="44">
        <f>Q127*X127</f>
        <v>360</v>
      </c>
      <c r="X127" s="44">
        <f>12*Z127</f>
        <v>72</v>
      </c>
      <c r="Z127" s="22">
        <v>6</v>
      </c>
      <c r="AD127" s="44"/>
      <c r="AE127">
        <v>30</v>
      </c>
      <c r="AF127">
        <v>0</v>
      </c>
      <c r="AG127">
        <v>0</v>
      </c>
      <c r="AH127" s="22">
        <f>AE127+AF127/20+AG127/240</f>
        <v>30</v>
      </c>
      <c r="AI127">
        <v>6</v>
      </c>
      <c r="AJ127">
        <v>0</v>
      </c>
      <c r="AK127">
        <v>0</v>
      </c>
      <c r="AL127" s="22">
        <f>Z127*1</f>
        <v>6</v>
      </c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BI127" s="7"/>
      <c r="BR127" s="33"/>
      <c r="BU127" s="20"/>
      <c r="BY127" s="44">
        <f>W127+(BQ127*12*Q127)+BV127</f>
        <v>360</v>
      </c>
      <c r="BZ127" s="44">
        <f>BY127/Q127</f>
        <v>72</v>
      </c>
      <c r="CL127">
        <f>A127*1</f>
        <v>1460</v>
      </c>
      <c r="CM127" s="2" t="s">
        <v>558</v>
      </c>
    </row>
    <row r="128" spans="1:91" ht="12.75">
      <c r="A128" s="18">
        <v>1460</v>
      </c>
      <c r="B128" s="14" t="s">
        <v>1239</v>
      </c>
      <c r="C128" s="14" t="s">
        <v>644</v>
      </c>
      <c r="D128" s="14" t="s">
        <v>228</v>
      </c>
      <c r="E128" s="14" t="s">
        <v>36</v>
      </c>
      <c r="F128" s="32" t="s">
        <v>192</v>
      </c>
      <c r="G128" s="2"/>
      <c r="H128" s="2" t="s">
        <v>537</v>
      </c>
      <c r="I128" s="10">
        <v>6</v>
      </c>
      <c r="J128" s="22">
        <v>7</v>
      </c>
      <c r="K128" s="2" t="s">
        <v>879</v>
      </c>
      <c r="L128" s="14" t="s">
        <v>415</v>
      </c>
      <c r="M128" s="2" t="s">
        <v>548</v>
      </c>
      <c r="N128" s="14" t="s">
        <v>509</v>
      </c>
      <c r="O128" s="14" t="s">
        <v>437</v>
      </c>
      <c r="P128" s="2" t="s">
        <v>1660</v>
      </c>
      <c r="Q128" s="10">
        <v>6</v>
      </c>
      <c r="W128" s="44">
        <f>Q128*X128</f>
        <v>504</v>
      </c>
      <c r="X128" s="44">
        <f>12*Z128</f>
        <v>84</v>
      </c>
      <c r="Z128" s="22">
        <v>7</v>
      </c>
      <c r="AD128" s="44"/>
      <c r="AH128" s="22">
        <f>Z128*Q128</f>
        <v>42</v>
      </c>
      <c r="AI128">
        <v>7</v>
      </c>
      <c r="AJ128">
        <v>0</v>
      </c>
      <c r="AK128">
        <v>0</v>
      </c>
      <c r="AL128" s="22">
        <f>Z128*1</f>
        <v>7</v>
      </c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BI128" s="7"/>
      <c r="BR128" s="33"/>
      <c r="BU128" s="20"/>
      <c r="BY128" s="44">
        <f>W128+(BQ128*12*Q128)+BV128</f>
        <v>504</v>
      </c>
      <c r="BZ128" s="44">
        <f>BY128/Q128</f>
        <v>84</v>
      </c>
      <c r="CL128">
        <f>A128*1</f>
        <v>1460</v>
      </c>
      <c r="CM128" s="2" t="s">
        <v>548</v>
      </c>
    </row>
    <row r="129" spans="1:91" ht="12.75">
      <c r="A129" s="18">
        <v>1460</v>
      </c>
      <c r="B129" s="14" t="s">
        <v>1239</v>
      </c>
      <c r="C129" s="14" t="s">
        <v>644</v>
      </c>
      <c r="D129" s="14" t="s">
        <v>228</v>
      </c>
      <c r="E129" s="14" t="s">
        <v>36</v>
      </c>
      <c r="F129" s="32" t="s">
        <v>193</v>
      </c>
      <c r="G129" s="2"/>
      <c r="H129" s="2" t="s">
        <v>537</v>
      </c>
      <c r="I129" s="10">
        <v>2</v>
      </c>
      <c r="J129" s="22">
        <v>7.3125</v>
      </c>
      <c r="K129" s="2" t="s">
        <v>879</v>
      </c>
      <c r="L129" s="14" t="s">
        <v>415</v>
      </c>
      <c r="M129" s="2" t="s">
        <v>548</v>
      </c>
      <c r="N129" s="14" t="s">
        <v>509</v>
      </c>
      <c r="O129" s="14" t="s">
        <v>437</v>
      </c>
      <c r="P129" s="2" t="s">
        <v>1660</v>
      </c>
      <c r="Q129" s="10">
        <v>2</v>
      </c>
      <c r="W129" s="44">
        <f>Q129*X129</f>
        <v>175.5</v>
      </c>
      <c r="X129" s="44">
        <f>12*Z129</f>
        <v>87.75</v>
      </c>
      <c r="Z129" s="22">
        <f>7+6/20+3/240</f>
        <v>7.3125</v>
      </c>
      <c r="AD129" s="44"/>
      <c r="AH129" s="22">
        <f>Z129*Q129</f>
        <v>14.625</v>
      </c>
      <c r="AI129">
        <v>7</v>
      </c>
      <c r="AJ129">
        <v>6</v>
      </c>
      <c r="AK129">
        <v>3</v>
      </c>
      <c r="AL129" s="22">
        <f>Z129*1</f>
        <v>7.3125</v>
      </c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BI129" s="7"/>
      <c r="BR129" s="33"/>
      <c r="BU129" s="20"/>
      <c r="BY129" s="44">
        <f>W129+(BQ129*12*Q129)+BV129</f>
        <v>175.5</v>
      </c>
      <c r="BZ129" s="44">
        <f>BY129/Q129</f>
        <v>87.75</v>
      </c>
      <c r="CL129">
        <f>A129*1</f>
        <v>1460</v>
      </c>
      <c r="CM129" s="2" t="s">
        <v>548</v>
      </c>
    </row>
    <row r="130" spans="1:91" ht="12.75">
      <c r="A130" s="18">
        <v>1460</v>
      </c>
      <c r="B130" s="14" t="s">
        <v>1239</v>
      </c>
      <c r="C130" s="14" t="s">
        <v>644</v>
      </c>
      <c r="D130" s="14" t="s">
        <v>228</v>
      </c>
      <c r="E130" s="14" t="s">
        <v>36</v>
      </c>
      <c r="F130" s="32" t="s">
        <v>194</v>
      </c>
      <c r="G130" s="2"/>
      <c r="H130" s="2" t="s">
        <v>537</v>
      </c>
      <c r="I130" s="10">
        <v>2</v>
      </c>
      <c r="J130" s="22">
        <v>6</v>
      </c>
      <c r="K130" s="2" t="s">
        <v>852</v>
      </c>
      <c r="L130" s="14" t="s">
        <v>415</v>
      </c>
      <c r="M130" s="2" t="s">
        <v>568</v>
      </c>
      <c r="N130" s="14" t="s">
        <v>509</v>
      </c>
      <c r="O130" s="14" t="s">
        <v>906</v>
      </c>
      <c r="P130" s="2" t="s">
        <v>931</v>
      </c>
      <c r="Q130" s="10">
        <v>2</v>
      </c>
      <c r="W130" s="44">
        <f>Q130*X130</f>
        <v>144</v>
      </c>
      <c r="X130" s="44">
        <f>12*Z130</f>
        <v>72</v>
      </c>
      <c r="Z130" s="22">
        <v>6</v>
      </c>
      <c r="AD130" s="44"/>
      <c r="AH130" s="22">
        <f>Z130*Q130</f>
        <v>12</v>
      </c>
      <c r="AI130">
        <v>6</v>
      </c>
      <c r="AJ130">
        <v>0</v>
      </c>
      <c r="AK130">
        <v>0</v>
      </c>
      <c r="AL130" s="22">
        <f>Z130*1</f>
        <v>6</v>
      </c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BI130" s="22">
        <v>6</v>
      </c>
      <c r="BR130" s="33"/>
      <c r="BU130" s="20"/>
      <c r="BY130" s="44">
        <f>W130+(BQ130*12*Q130)+BV130</f>
        <v>144</v>
      </c>
      <c r="BZ130" s="44">
        <f>BY130/Q130</f>
        <v>72</v>
      </c>
      <c r="CL130">
        <f>A130*1</f>
        <v>1460</v>
      </c>
      <c r="CM130" s="2" t="s">
        <v>568</v>
      </c>
    </row>
    <row r="131" spans="1:91" ht="12.75">
      <c r="A131" s="18"/>
      <c r="E131" s="14"/>
      <c r="F131" s="32"/>
      <c r="G131" s="2"/>
      <c r="M131" s="2"/>
      <c r="W131" s="44"/>
      <c r="X131" s="44"/>
      <c r="AH131" s="22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BU131" s="20"/>
      <c r="BY131" s="44"/>
      <c r="BZ131" s="44"/>
      <c r="CM131" s="2"/>
    </row>
    <row r="132" spans="1:91" ht="12.75">
      <c r="A132" s="18">
        <v>1461</v>
      </c>
      <c r="B132" s="14" t="s">
        <v>1117</v>
      </c>
      <c r="C132" s="14" t="s">
        <v>644</v>
      </c>
      <c r="D132" s="14" t="s">
        <v>228</v>
      </c>
      <c r="E132" s="14" t="s">
        <v>37</v>
      </c>
      <c r="F132" s="32" t="s">
        <v>195</v>
      </c>
      <c r="G132" s="2">
        <v>1</v>
      </c>
      <c r="H132" s="2" t="s">
        <v>537</v>
      </c>
      <c r="I132" s="10">
        <v>4</v>
      </c>
      <c r="J132" s="22">
        <v>9.5</v>
      </c>
      <c r="K132" s="2" t="s">
        <v>833</v>
      </c>
      <c r="L132" s="14" t="s">
        <v>415</v>
      </c>
      <c r="M132" s="2" t="s">
        <v>560</v>
      </c>
      <c r="N132" s="14" t="s">
        <v>509</v>
      </c>
      <c r="O132" s="14" t="s">
        <v>434</v>
      </c>
      <c r="P132" s="2" t="s">
        <v>1660</v>
      </c>
      <c r="Q132" s="10">
        <v>4</v>
      </c>
      <c r="W132" s="44">
        <f>Q132*X132</f>
        <v>456</v>
      </c>
      <c r="X132" s="44">
        <f>12*Z132</f>
        <v>114</v>
      </c>
      <c r="Z132" s="22">
        <f>9+10/20</f>
        <v>9.5</v>
      </c>
      <c r="AD132" s="44"/>
      <c r="AH132" s="22">
        <f>Z132*Q132</f>
        <v>38</v>
      </c>
      <c r="AI132">
        <v>9</v>
      </c>
      <c r="AJ132">
        <v>10</v>
      </c>
      <c r="AK132">
        <v>0</v>
      </c>
      <c r="AL132" s="22">
        <f aca="true" t="shared" si="36" ref="AL132:AL139">Z132*1</f>
        <v>9.5</v>
      </c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Y132" s="7"/>
      <c r="BE132" s="7"/>
      <c r="BF132" s="7"/>
      <c r="BG132" s="19"/>
      <c r="BH132" s="19"/>
      <c r="BI132" s="7"/>
      <c r="BR132" s="33"/>
      <c r="BU132" s="20"/>
      <c r="BY132" s="44">
        <f aca="true" t="shared" si="37" ref="BY132:BY139">W132+(BQ132*12*Q132)+BV132</f>
        <v>456</v>
      </c>
      <c r="BZ132" s="44">
        <f aca="true" t="shared" si="38" ref="BZ132:BZ139">BY132/Q132</f>
        <v>114</v>
      </c>
      <c r="CL132">
        <f aca="true" t="shared" si="39" ref="CL132:CL139">A132*1</f>
        <v>1461</v>
      </c>
      <c r="CM132" s="2" t="s">
        <v>560</v>
      </c>
    </row>
    <row r="133" spans="1:91" ht="12.75">
      <c r="A133" s="18">
        <v>1461</v>
      </c>
      <c r="B133" s="14" t="s">
        <v>1117</v>
      </c>
      <c r="C133" s="14" t="s">
        <v>644</v>
      </c>
      <c r="D133" s="14" t="s">
        <v>228</v>
      </c>
      <c r="E133" s="14" t="s">
        <v>37</v>
      </c>
      <c r="F133" s="32" t="s">
        <v>196</v>
      </c>
      <c r="G133" s="2">
        <v>1</v>
      </c>
      <c r="H133" s="2" t="s">
        <v>537</v>
      </c>
      <c r="I133" s="10">
        <v>2</v>
      </c>
      <c r="J133" s="22">
        <v>7</v>
      </c>
      <c r="K133" s="2" t="s">
        <v>834</v>
      </c>
      <c r="L133" s="14" t="s">
        <v>415</v>
      </c>
      <c r="M133" s="2" t="s">
        <v>560</v>
      </c>
      <c r="N133" s="14" t="s">
        <v>509</v>
      </c>
      <c r="O133" s="14" t="s">
        <v>434</v>
      </c>
      <c r="P133" s="2" t="s">
        <v>1660</v>
      </c>
      <c r="Q133" s="10">
        <v>2</v>
      </c>
      <c r="W133" s="44">
        <f>Q133*X133</f>
        <v>168</v>
      </c>
      <c r="X133" s="44">
        <f>12*Z133</f>
        <v>84</v>
      </c>
      <c r="Z133" s="22">
        <v>7</v>
      </c>
      <c r="AD133" s="44"/>
      <c r="AH133" s="22">
        <f>Z133*Q133</f>
        <v>14</v>
      </c>
      <c r="AI133">
        <v>7</v>
      </c>
      <c r="AJ133">
        <v>0</v>
      </c>
      <c r="AK133">
        <v>0</v>
      </c>
      <c r="AL133" s="22">
        <f t="shared" si="36"/>
        <v>7</v>
      </c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Y133" s="7"/>
      <c r="BE133" s="7"/>
      <c r="BF133" s="7"/>
      <c r="BG133" s="19"/>
      <c r="BH133" s="19"/>
      <c r="BI133" s="7"/>
      <c r="BR133" s="33"/>
      <c r="BU133" s="20"/>
      <c r="BY133" s="44">
        <f t="shared" si="37"/>
        <v>168</v>
      </c>
      <c r="BZ133" s="44">
        <f t="shared" si="38"/>
        <v>84</v>
      </c>
      <c r="CL133">
        <f t="shared" si="39"/>
        <v>1461</v>
      </c>
      <c r="CM133" s="2" t="s">
        <v>560</v>
      </c>
    </row>
    <row r="134" spans="1:91" ht="12.75">
      <c r="A134" s="18">
        <v>1461</v>
      </c>
      <c r="B134" s="14" t="s">
        <v>1117</v>
      </c>
      <c r="C134" s="14" t="s">
        <v>644</v>
      </c>
      <c r="D134" s="14" t="s">
        <v>228</v>
      </c>
      <c r="E134" s="14" t="s">
        <v>37</v>
      </c>
      <c r="F134" s="32" t="s">
        <v>197</v>
      </c>
      <c r="G134" s="2">
        <v>1</v>
      </c>
      <c r="H134" s="2" t="s">
        <v>537</v>
      </c>
      <c r="I134" s="10">
        <v>5</v>
      </c>
      <c r="J134" s="22">
        <v>6.9</v>
      </c>
      <c r="K134" s="2" t="s">
        <v>729</v>
      </c>
      <c r="L134" s="14" t="s">
        <v>415</v>
      </c>
      <c r="M134" s="2" t="s">
        <v>562</v>
      </c>
      <c r="N134" s="14" t="s">
        <v>509</v>
      </c>
      <c r="O134" s="14" t="s">
        <v>904</v>
      </c>
      <c r="P134" s="2" t="s">
        <v>1660</v>
      </c>
      <c r="Q134" s="10">
        <v>5</v>
      </c>
      <c r="W134" s="44">
        <f>Q134*X134</f>
        <v>414.00000000000006</v>
      </c>
      <c r="X134" s="44">
        <f>12*Z134</f>
        <v>82.80000000000001</v>
      </c>
      <c r="Z134" s="22">
        <f>6+18/20</f>
        <v>6.9</v>
      </c>
      <c r="AD134" s="44"/>
      <c r="AH134" s="22">
        <f>Z134*Q134</f>
        <v>34.5</v>
      </c>
      <c r="AI134">
        <v>6</v>
      </c>
      <c r="AJ134">
        <v>18</v>
      </c>
      <c r="AK134">
        <v>0</v>
      </c>
      <c r="AL134" s="22">
        <f t="shared" si="36"/>
        <v>6.9</v>
      </c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Y134" s="7"/>
      <c r="BE134" s="7"/>
      <c r="BF134" s="7"/>
      <c r="BG134" s="19"/>
      <c r="BH134" s="19"/>
      <c r="BI134" s="7"/>
      <c r="BR134" s="33"/>
      <c r="BU134" s="20"/>
      <c r="BY134" s="44">
        <f t="shared" si="37"/>
        <v>414.00000000000006</v>
      </c>
      <c r="BZ134" s="44">
        <f t="shared" si="38"/>
        <v>82.80000000000001</v>
      </c>
      <c r="CL134">
        <f t="shared" si="39"/>
        <v>1461</v>
      </c>
      <c r="CM134" s="2" t="s">
        <v>562</v>
      </c>
    </row>
    <row r="135" spans="1:91" ht="12.75">
      <c r="A135" s="18">
        <v>1461</v>
      </c>
      <c r="B135" s="14" t="s">
        <v>1117</v>
      </c>
      <c r="C135" s="14" t="s">
        <v>644</v>
      </c>
      <c r="D135" s="14" t="s">
        <v>228</v>
      </c>
      <c r="E135" s="14" t="s">
        <v>37</v>
      </c>
      <c r="F135" s="32" t="s">
        <v>198</v>
      </c>
      <c r="G135" s="2">
        <v>1</v>
      </c>
      <c r="H135" s="2" t="s">
        <v>5</v>
      </c>
      <c r="I135" s="10">
        <v>2</v>
      </c>
      <c r="J135" s="22">
        <v>6.5</v>
      </c>
      <c r="K135" s="2" t="s">
        <v>859</v>
      </c>
      <c r="L135" s="14" t="s">
        <v>415</v>
      </c>
      <c r="M135" s="2" t="s">
        <v>854</v>
      </c>
      <c r="N135" s="14" t="s">
        <v>1595</v>
      </c>
      <c r="O135" s="14" t="s">
        <v>897</v>
      </c>
      <c r="P135" s="2" t="s">
        <v>1660</v>
      </c>
      <c r="Q135" s="10">
        <v>2</v>
      </c>
      <c r="W135" s="44">
        <f>Q135*X135</f>
        <v>156</v>
      </c>
      <c r="X135" s="44">
        <f>12*Z135</f>
        <v>78</v>
      </c>
      <c r="Z135" s="22">
        <f>6+10/20</f>
        <v>6.5</v>
      </c>
      <c r="AD135" s="44"/>
      <c r="AH135" s="22">
        <f>Z135*Q135</f>
        <v>13</v>
      </c>
      <c r="AI135">
        <v>6</v>
      </c>
      <c r="AJ135">
        <v>10</v>
      </c>
      <c r="AK135">
        <v>0</v>
      </c>
      <c r="AL135" s="22">
        <f t="shared" si="36"/>
        <v>6.5</v>
      </c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Y135" s="7"/>
      <c r="BE135" s="7"/>
      <c r="BF135" s="7"/>
      <c r="BG135" s="19"/>
      <c r="BH135" s="19"/>
      <c r="BI135" s="7"/>
      <c r="BR135" s="33"/>
      <c r="BU135" s="20"/>
      <c r="BY135" s="44">
        <f t="shared" si="37"/>
        <v>156</v>
      </c>
      <c r="BZ135" s="44">
        <f t="shared" si="38"/>
        <v>78</v>
      </c>
      <c r="CL135">
        <f t="shared" si="39"/>
        <v>1461</v>
      </c>
      <c r="CM135" s="2" t="s">
        <v>854</v>
      </c>
    </row>
    <row r="136" spans="1:91" ht="12.75">
      <c r="A136" s="18">
        <v>1461</v>
      </c>
      <c r="B136" s="14" t="s">
        <v>1117</v>
      </c>
      <c r="C136" s="14" t="s">
        <v>644</v>
      </c>
      <c r="D136" s="14" t="s">
        <v>228</v>
      </c>
      <c r="E136" s="14" t="s">
        <v>37</v>
      </c>
      <c r="F136" s="32" t="s">
        <v>199</v>
      </c>
      <c r="G136" s="2">
        <v>1</v>
      </c>
      <c r="H136" s="2" t="s">
        <v>5</v>
      </c>
      <c r="I136" s="10">
        <v>2</v>
      </c>
      <c r="J136" s="22">
        <v>7</v>
      </c>
      <c r="K136" s="2" t="s">
        <v>848</v>
      </c>
      <c r="L136" s="14" t="s">
        <v>415</v>
      </c>
      <c r="M136" s="2" t="s">
        <v>844</v>
      </c>
      <c r="N136" s="14" t="s">
        <v>1595</v>
      </c>
      <c r="O136" s="14" t="s">
        <v>904</v>
      </c>
      <c r="P136" s="2" t="s">
        <v>934</v>
      </c>
      <c r="Q136" s="10">
        <v>2</v>
      </c>
      <c r="W136" s="44">
        <f>Q136*X136</f>
        <v>168</v>
      </c>
      <c r="X136" s="44">
        <f>12*Z136</f>
        <v>84</v>
      </c>
      <c r="Z136" s="22">
        <v>7</v>
      </c>
      <c r="AD136" s="44"/>
      <c r="AH136" s="22">
        <f>Z136*Q136</f>
        <v>14</v>
      </c>
      <c r="AI136">
        <v>7</v>
      </c>
      <c r="AJ136">
        <v>0</v>
      </c>
      <c r="AK136">
        <v>0</v>
      </c>
      <c r="AL136" s="22">
        <f t="shared" si="36"/>
        <v>7</v>
      </c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Y136" s="7"/>
      <c r="BE136" s="7"/>
      <c r="BF136" s="7"/>
      <c r="BG136" s="19"/>
      <c r="BH136" s="19"/>
      <c r="BI136" s="22">
        <v>7</v>
      </c>
      <c r="BR136" s="33"/>
      <c r="BU136" s="20"/>
      <c r="BY136" s="44">
        <f t="shared" si="37"/>
        <v>168</v>
      </c>
      <c r="BZ136" s="44">
        <f t="shared" si="38"/>
        <v>84</v>
      </c>
      <c r="CL136">
        <f t="shared" si="39"/>
        <v>1461</v>
      </c>
      <c r="CM136" s="2" t="s">
        <v>844</v>
      </c>
    </row>
    <row r="137" spans="1:92" ht="12.75">
      <c r="A137" s="18">
        <v>1461</v>
      </c>
      <c r="B137" s="14" t="s">
        <v>1117</v>
      </c>
      <c r="C137" s="14" t="s">
        <v>644</v>
      </c>
      <c r="D137" s="14" t="s">
        <v>228</v>
      </c>
      <c r="E137" s="14" t="s">
        <v>37</v>
      </c>
      <c r="F137" s="32" t="s">
        <v>200</v>
      </c>
      <c r="G137" s="2">
        <v>1</v>
      </c>
      <c r="H137" s="2" t="s">
        <v>1652</v>
      </c>
      <c r="I137" s="10">
        <v>6</v>
      </c>
      <c r="J137" s="22">
        <v>3.25</v>
      </c>
      <c r="K137" s="2" t="s">
        <v>1651</v>
      </c>
      <c r="L137" s="14" t="s">
        <v>415</v>
      </c>
      <c r="M137" s="2" t="s">
        <v>1655</v>
      </c>
      <c r="N137" s="14" t="s">
        <v>1648</v>
      </c>
      <c r="O137" s="14" t="s">
        <v>5</v>
      </c>
      <c r="P137" s="2" t="s">
        <v>1343</v>
      </c>
      <c r="Q137" s="10">
        <v>6</v>
      </c>
      <c r="W137" s="44">
        <f>12*(19+10/20)</f>
        <v>234</v>
      </c>
      <c r="X137" s="44">
        <f>W137/Q137</f>
        <v>39</v>
      </c>
      <c r="Z137" s="22">
        <f>X137/12</f>
        <v>3.25</v>
      </c>
      <c r="AD137" s="44"/>
      <c r="AE137">
        <v>19</v>
      </c>
      <c r="AF137">
        <v>10</v>
      </c>
      <c r="AG137">
        <v>0</v>
      </c>
      <c r="AH137" s="22">
        <f>AE137+AF137/20+AG137/240</f>
        <v>19.5</v>
      </c>
      <c r="AI137">
        <v>3</v>
      </c>
      <c r="AJ137">
        <v>5</v>
      </c>
      <c r="AK137">
        <v>0</v>
      </c>
      <c r="AL137" s="22">
        <f t="shared" si="36"/>
        <v>3.25</v>
      </c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Y137" s="7"/>
      <c r="BE137" s="7"/>
      <c r="BF137" s="7"/>
      <c r="BG137" s="19"/>
      <c r="BH137" s="19"/>
      <c r="BI137" s="22">
        <v>3.25</v>
      </c>
      <c r="BR137" s="33"/>
      <c r="BU137" s="20"/>
      <c r="BY137" s="44">
        <f t="shared" si="37"/>
        <v>234</v>
      </c>
      <c r="BZ137" s="44">
        <f t="shared" si="38"/>
        <v>39</v>
      </c>
      <c r="CL137">
        <f t="shared" si="39"/>
        <v>1461</v>
      </c>
      <c r="CM137" s="2" t="s">
        <v>1655</v>
      </c>
      <c r="CN137" t="s">
        <v>52</v>
      </c>
    </row>
    <row r="138" spans="1:92" ht="12.75">
      <c r="A138" s="18">
        <v>1461</v>
      </c>
      <c r="B138" s="14" t="s">
        <v>1117</v>
      </c>
      <c r="C138" s="14" t="s">
        <v>644</v>
      </c>
      <c r="D138" s="14" t="s">
        <v>228</v>
      </c>
      <c r="E138" s="14" t="s">
        <v>37</v>
      </c>
      <c r="F138" s="32" t="s">
        <v>201</v>
      </c>
      <c r="G138" s="2">
        <v>1</v>
      </c>
      <c r="H138" s="2" t="s">
        <v>537</v>
      </c>
      <c r="I138" s="10">
        <v>4</v>
      </c>
      <c r="J138" s="22">
        <v>3.3</v>
      </c>
      <c r="K138" s="2" t="s">
        <v>1495</v>
      </c>
      <c r="L138" s="14" t="s">
        <v>1414</v>
      </c>
      <c r="M138" s="2" t="s">
        <v>593</v>
      </c>
      <c r="N138" s="14" t="s">
        <v>509</v>
      </c>
      <c r="O138" s="14" t="s">
        <v>906</v>
      </c>
      <c r="P138" s="2" t="s">
        <v>1449</v>
      </c>
      <c r="Q138" s="10">
        <v>4</v>
      </c>
      <c r="W138" s="44">
        <f>Q138*X138</f>
        <v>158.39999999999998</v>
      </c>
      <c r="X138" s="44">
        <f>12*Z138</f>
        <v>39.599999999999994</v>
      </c>
      <c r="Z138" s="22">
        <f>3+6/20</f>
        <v>3.3</v>
      </c>
      <c r="AD138" s="44"/>
      <c r="AH138" s="22">
        <f>Z138*Q138</f>
        <v>13.2</v>
      </c>
      <c r="AI138">
        <v>3</v>
      </c>
      <c r="AJ138">
        <v>6</v>
      </c>
      <c r="AK138">
        <v>0</v>
      </c>
      <c r="AL138" s="22">
        <f t="shared" si="36"/>
        <v>3.3</v>
      </c>
      <c r="AM138" s="34"/>
      <c r="AN138" s="22">
        <v>3.3</v>
      </c>
      <c r="AO138" s="34"/>
      <c r="AP138" s="34"/>
      <c r="AQ138" s="34"/>
      <c r="AR138" s="34"/>
      <c r="AS138" s="34"/>
      <c r="AT138" s="34"/>
      <c r="AU138" s="34"/>
      <c r="AV138" s="34"/>
      <c r="AY138" s="7"/>
      <c r="BE138" s="7"/>
      <c r="BF138" s="7"/>
      <c r="BG138" s="19"/>
      <c r="BH138" s="19"/>
      <c r="BI138" s="7"/>
      <c r="BR138" s="33"/>
      <c r="BU138" s="20"/>
      <c r="BY138" s="44">
        <f t="shared" si="37"/>
        <v>158.39999999999998</v>
      </c>
      <c r="BZ138" s="44">
        <f t="shared" si="38"/>
        <v>39.599999999999994</v>
      </c>
      <c r="CL138">
        <f t="shared" si="39"/>
        <v>1461</v>
      </c>
      <c r="CM138" s="2" t="s">
        <v>593</v>
      </c>
      <c r="CN138" t="s">
        <v>1193</v>
      </c>
    </row>
    <row r="139" spans="1:92" ht="12.75">
      <c r="A139" s="18">
        <v>1461</v>
      </c>
      <c r="B139" s="14" t="s">
        <v>1117</v>
      </c>
      <c r="C139" s="14" t="s">
        <v>644</v>
      </c>
      <c r="D139" s="14" t="s">
        <v>228</v>
      </c>
      <c r="E139" s="14" t="s">
        <v>37</v>
      </c>
      <c r="F139" s="32" t="s">
        <v>202</v>
      </c>
      <c r="G139" s="2">
        <v>1</v>
      </c>
      <c r="H139" s="2" t="s">
        <v>1216</v>
      </c>
      <c r="I139" s="10">
        <v>7</v>
      </c>
      <c r="J139" s="22">
        <v>2.4440476190476192</v>
      </c>
      <c r="K139" s="2" t="s">
        <v>1227</v>
      </c>
      <c r="L139" s="14" t="s">
        <v>415</v>
      </c>
      <c r="M139" s="2" t="s">
        <v>1218</v>
      </c>
      <c r="N139" s="14" t="s">
        <v>1226</v>
      </c>
      <c r="O139" s="14" t="s">
        <v>5</v>
      </c>
      <c r="P139" s="2" t="s">
        <v>916</v>
      </c>
      <c r="Q139" s="10">
        <v>7</v>
      </c>
      <c r="W139" s="44">
        <f>12*(17+2/20+2/240)</f>
        <v>205.3</v>
      </c>
      <c r="X139" s="44">
        <f>W139/Q139</f>
        <v>29.32857142857143</v>
      </c>
      <c r="Z139" s="22">
        <f>X139/12</f>
        <v>2.4440476190476192</v>
      </c>
      <c r="AD139" s="44"/>
      <c r="AE139">
        <v>17</v>
      </c>
      <c r="AF139">
        <v>2</v>
      </c>
      <c r="AG139">
        <v>2</v>
      </c>
      <c r="AH139" s="22">
        <f>AE139+AF139/20+AG139/240</f>
        <v>17.108333333333334</v>
      </c>
      <c r="AI139">
        <v>2</v>
      </c>
      <c r="AJ139">
        <v>8</v>
      </c>
      <c r="AK139">
        <v>11</v>
      </c>
      <c r="AL139" s="22">
        <f t="shared" si="36"/>
        <v>2.4440476190476192</v>
      </c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BI139" s="22">
        <v>2.4440476190476192</v>
      </c>
      <c r="BR139" s="33"/>
      <c r="BU139" s="20"/>
      <c r="BY139" s="44">
        <f t="shared" si="37"/>
        <v>205.3</v>
      </c>
      <c r="BZ139" s="44">
        <f t="shared" si="38"/>
        <v>29.32857142857143</v>
      </c>
      <c r="CL139">
        <f t="shared" si="39"/>
        <v>1461</v>
      </c>
      <c r="CM139" s="2" t="s">
        <v>1218</v>
      </c>
      <c r="CN139" t="s">
        <v>62</v>
      </c>
    </row>
    <row r="140" spans="1:78" ht="12.75">
      <c r="A140" s="18"/>
      <c r="E140" s="14"/>
      <c r="F140" s="32"/>
      <c r="G140" s="2"/>
      <c r="M140" s="2"/>
      <c r="AD140" s="4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BR140" s="33"/>
      <c r="BU140" s="20"/>
      <c r="BY140" s="44"/>
      <c r="BZ140" s="44"/>
    </row>
    <row r="141" spans="1:91" ht="12.75">
      <c r="A141" s="18">
        <v>1461</v>
      </c>
      <c r="B141" s="14" t="s">
        <v>1117</v>
      </c>
      <c r="C141" s="14" t="s">
        <v>644</v>
      </c>
      <c r="D141" s="14" t="s">
        <v>228</v>
      </c>
      <c r="E141" s="14" t="s">
        <v>37</v>
      </c>
      <c r="F141" s="32" t="s">
        <v>203</v>
      </c>
      <c r="G141" s="2">
        <v>2</v>
      </c>
      <c r="H141" s="2" t="s">
        <v>455</v>
      </c>
      <c r="I141" s="10">
        <v>1</v>
      </c>
      <c r="J141" s="22">
        <v>2.6375</v>
      </c>
      <c r="K141" s="2" t="s">
        <v>468</v>
      </c>
      <c r="L141" s="14" t="s">
        <v>415</v>
      </c>
      <c r="M141" s="2" t="s">
        <v>458</v>
      </c>
      <c r="N141" s="14" t="s">
        <v>464</v>
      </c>
      <c r="O141" s="14" t="s">
        <v>906</v>
      </c>
      <c r="P141" s="2" t="s">
        <v>1137</v>
      </c>
      <c r="Q141" s="10">
        <v>1</v>
      </c>
      <c r="W141" s="44">
        <f>Q141*X141</f>
        <v>31.650000000000002</v>
      </c>
      <c r="X141" s="44">
        <f>12*Z141</f>
        <v>31.650000000000002</v>
      </c>
      <c r="Z141" s="22">
        <f>2+12/20+9/240</f>
        <v>2.6375</v>
      </c>
      <c r="AD141" s="44"/>
      <c r="AE141">
        <v>2</v>
      </c>
      <c r="AF141">
        <v>12</v>
      </c>
      <c r="AG141">
        <v>9</v>
      </c>
      <c r="AH141" s="22">
        <f>AE141+AF141/20+AG141/240</f>
        <v>2.6375</v>
      </c>
      <c r="AI141">
        <v>2</v>
      </c>
      <c r="AJ141">
        <v>12</v>
      </c>
      <c r="AK141">
        <v>9</v>
      </c>
      <c r="AL141" s="22">
        <f>Z141*1</f>
        <v>2.6375</v>
      </c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BI141" s="22">
        <v>2.6375</v>
      </c>
      <c r="BR141" s="33"/>
      <c r="BU141" s="20"/>
      <c r="BY141" s="44">
        <f>W141+(BQ141*12*Q141)+BV141</f>
        <v>31.650000000000002</v>
      </c>
      <c r="BZ141" s="44">
        <f>BY141/Q141</f>
        <v>31.650000000000002</v>
      </c>
      <c r="CL141">
        <f>A141*1</f>
        <v>1461</v>
      </c>
      <c r="CM141" s="2" t="s">
        <v>458</v>
      </c>
    </row>
    <row r="142" spans="1:73" ht="12.75">
      <c r="A142" s="18"/>
      <c r="E142" s="14"/>
      <c r="F142" s="32"/>
      <c r="G142" s="2"/>
      <c r="J142" s="22"/>
      <c r="M142" s="2"/>
      <c r="AD142" s="44"/>
      <c r="AL142" s="22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BR142" s="33"/>
      <c r="BU142" s="20"/>
    </row>
    <row r="143" spans="1:91" ht="12.75">
      <c r="A143" s="18">
        <v>1461</v>
      </c>
      <c r="B143" s="14" t="s">
        <v>1239</v>
      </c>
      <c r="C143" s="14" t="s">
        <v>644</v>
      </c>
      <c r="D143" s="14" t="s">
        <v>229</v>
      </c>
      <c r="E143" s="14" t="s">
        <v>37</v>
      </c>
      <c r="F143" s="32" t="s">
        <v>204</v>
      </c>
      <c r="G143" s="2"/>
      <c r="H143" s="2" t="s">
        <v>537</v>
      </c>
      <c r="I143" s="10">
        <v>6</v>
      </c>
      <c r="J143" s="22">
        <v>7</v>
      </c>
      <c r="K143" s="2" t="s">
        <v>1733</v>
      </c>
      <c r="L143" s="14" t="s">
        <v>415</v>
      </c>
      <c r="M143" s="2" t="s">
        <v>548</v>
      </c>
      <c r="N143" s="14" t="s">
        <v>509</v>
      </c>
      <c r="O143" s="14" t="s">
        <v>453</v>
      </c>
      <c r="P143" s="2" t="s">
        <v>1660</v>
      </c>
      <c r="Q143" s="10">
        <v>6</v>
      </c>
      <c r="W143" s="44">
        <f>Q143*X143</f>
        <v>504</v>
      </c>
      <c r="X143" s="44">
        <f>12*Z143</f>
        <v>84</v>
      </c>
      <c r="Z143" s="22">
        <v>7</v>
      </c>
      <c r="AD143" s="44"/>
      <c r="AH143" s="22">
        <f>Z143*Q143</f>
        <v>42</v>
      </c>
      <c r="AI143">
        <v>7</v>
      </c>
      <c r="AJ143">
        <v>0</v>
      </c>
      <c r="AK143">
        <v>0</v>
      </c>
      <c r="AL143" s="22">
        <f>Z143*1</f>
        <v>7</v>
      </c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BR143" s="33"/>
      <c r="BU143" s="20"/>
      <c r="BY143" s="44">
        <f>W143+(BQ143*12*Q143)+BV143</f>
        <v>504</v>
      </c>
      <c r="BZ143" s="44">
        <f>BY143/Q143</f>
        <v>84</v>
      </c>
      <c r="CL143">
        <f>A143*1</f>
        <v>1461</v>
      </c>
      <c r="CM143" s="2" t="s">
        <v>548</v>
      </c>
    </row>
    <row r="144" spans="1:91" ht="12.75">
      <c r="A144" s="18">
        <v>1461</v>
      </c>
      <c r="B144" s="14" t="s">
        <v>1239</v>
      </c>
      <c r="C144" s="14" t="s">
        <v>644</v>
      </c>
      <c r="D144" s="14" t="s">
        <v>229</v>
      </c>
      <c r="E144" s="14" t="s">
        <v>37</v>
      </c>
      <c r="F144" s="32" t="s">
        <v>205</v>
      </c>
      <c r="G144" s="2"/>
      <c r="H144" s="2" t="s">
        <v>537</v>
      </c>
      <c r="I144" s="10">
        <v>1</v>
      </c>
      <c r="J144" s="22">
        <v>6.9</v>
      </c>
      <c r="K144" s="2" t="s">
        <v>1733</v>
      </c>
      <c r="L144" s="14" t="s">
        <v>415</v>
      </c>
      <c r="M144" s="2" t="s">
        <v>548</v>
      </c>
      <c r="N144" s="14" t="s">
        <v>509</v>
      </c>
      <c r="O144" s="14" t="s">
        <v>453</v>
      </c>
      <c r="P144" s="2" t="s">
        <v>1660</v>
      </c>
      <c r="Q144" s="10">
        <v>1</v>
      </c>
      <c r="W144" s="44">
        <f>Q144*X144</f>
        <v>82.80000000000001</v>
      </c>
      <c r="X144" s="44">
        <f>12*Z144</f>
        <v>82.80000000000001</v>
      </c>
      <c r="Z144" s="22">
        <f>6+18/20</f>
        <v>6.9</v>
      </c>
      <c r="AD144" s="44"/>
      <c r="AE144">
        <v>6</v>
      </c>
      <c r="AF144">
        <v>18</v>
      </c>
      <c r="AG144">
        <v>0</v>
      </c>
      <c r="AH144" s="22">
        <f>AE144+AF144/20+AG144/240</f>
        <v>6.9</v>
      </c>
      <c r="AI144">
        <v>6</v>
      </c>
      <c r="AJ144">
        <v>18</v>
      </c>
      <c r="AK144">
        <v>0</v>
      </c>
      <c r="AL144" s="22">
        <f>Z144*1</f>
        <v>6.9</v>
      </c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BF144" s="7"/>
      <c r="BG144" s="19"/>
      <c r="BH144" s="19"/>
      <c r="BR144" s="33"/>
      <c r="BU144" s="20"/>
      <c r="BY144" s="44">
        <f>W144+(BQ144*12*Q144)+BV144</f>
        <v>82.80000000000001</v>
      </c>
      <c r="BZ144" s="44">
        <f>BY144/Q144</f>
        <v>82.80000000000001</v>
      </c>
      <c r="CL144">
        <f>A144*1</f>
        <v>1461</v>
      </c>
      <c r="CM144" s="2" t="s">
        <v>548</v>
      </c>
    </row>
    <row r="145" spans="1:91" ht="12.75">
      <c r="A145" s="18">
        <v>1461</v>
      </c>
      <c r="B145" s="14" t="s">
        <v>1239</v>
      </c>
      <c r="C145" s="14" t="s">
        <v>644</v>
      </c>
      <c r="D145" s="14" t="s">
        <v>229</v>
      </c>
      <c r="E145" s="14" t="s">
        <v>37</v>
      </c>
      <c r="F145" s="32" t="s">
        <v>206</v>
      </c>
      <c r="G145" s="2"/>
      <c r="H145" s="2" t="s">
        <v>537</v>
      </c>
      <c r="I145" s="10">
        <v>8</v>
      </c>
      <c r="J145" s="22">
        <v>6</v>
      </c>
      <c r="K145" s="2" t="s">
        <v>851</v>
      </c>
      <c r="L145" s="14" t="s">
        <v>415</v>
      </c>
      <c r="M145" s="2" t="s">
        <v>568</v>
      </c>
      <c r="N145" s="14" t="s">
        <v>509</v>
      </c>
      <c r="O145" s="14" t="s">
        <v>906</v>
      </c>
      <c r="P145" s="2" t="s">
        <v>1660</v>
      </c>
      <c r="Q145" s="10">
        <v>8</v>
      </c>
      <c r="W145" s="44">
        <f>Q145*X145</f>
        <v>576</v>
      </c>
      <c r="X145" s="44">
        <f>12*Z145</f>
        <v>72</v>
      </c>
      <c r="Z145" s="22">
        <v>6</v>
      </c>
      <c r="AD145" s="44"/>
      <c r="AH145" s="22">
        <f>Z145*Q145</f>
        <v>48</v>
      </c>
      <c r="AI145">
        <v>6</v>
      </c>
      <c r="AJ145">
        <v>0</v>
      </c>
      <c r="AK145">
        <v>0</v>
      </c>
      <c r="AL145" s="22">
        <f>Z145*1</f>
        <v>6</v>
      </c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BF145" s="7"/>
      <c r="BG145" s="19"/>
      <c r="BH145" s="19"/>
      <c r="BR145" s="33"/>
      <c r="BU145" s="20"/>
      <c r="BY145" s="44">
        <f>W145+(BQ145*12*Q145)+BV145</f>
        <v>576</v>
      </c>
      <c r="BZ145" s="44">
        <f>BY145/Q145</f>
        <v>72</v>
      </c>
      <c r="CL145">
        <f>A145*1</f>
        <v>1461</v>
      </c>
      <c r="CM145" s="2" t="s">
        <v>568</v>
      </c>
    </row>
    <row r="146" spans="1:91" ht="12.75">
      <c r="A146" s="18"/>
      <c r="E146" s="14"/>
      <c r="F146" s="32"/>
      <c r="G146" s="2"/>
      <c r="J146" s="22"/>
      <c r="M146" s="2"/>
      <c r="AD146" s="44"/>
      <c r="AH146" s="22"/>
      <c r="AL146" s="22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BF146" s="7"/>
      <c r="BG146" s="19"/>
      <c r="BH146" s="19"/>
      <c r="BR146" s="33"/>
      <c r="BU146" s="20"/>
      <c r="BY146" s="44"/>
      <c r="BZ146" s="44"/>
      <c r="CM146" s="2"/>
    </row>
    <row r="147" spans="1:91" ht="12.75">
      <c r="A147" s="18">
        <v>1462</v>
      </c>
      <c r="B147" s="14" t="s">
        <v>1117</v>
      </c>
      <c r="C147" s="14" t="s">
        <v>644</v>
      </c>
      <c r="D147" s="14" t="s">
        <v>229</v>
      </c>
      <c r="E147" s="14" t="s">
        <v>38</v>
      </c>
      <c r="F147" s="32" t="s">
        <v>207</v>
      </c>
      <c r="G147" s="2"/>
      <c r="H147" s="2" t="s">
        <v>537</v>
      </c>
      <c r="I147" s="10">
        <v>10</v>
      </c>
      <c r="J147" s="22">
        <v>7.5</v>
      </c>
      <c r="K147" s="2" t="s">
        <v>1004</v>
      </c>
      <c r="L147" s="14" t="s">
        <v>415</v>
      </c>
      <c r="M147" s="2" t="s">
        <v>564</v>
      </c>
      <c r="N147" s="14" t="s">
        <v>509</v>
      </c>
      <c r="O147" s="14" t="s">
        <v>897</v>
      </c>
      <c r="P147" s="2" t="s">
        <v>1665</v>
      </c>
      <c r="Q147" s="10">
        <v>10</v>
      </c>
      <c r="W147" s="44">
        <f aca="true" t="shared" si="40" ref="W147:W153">Q147*X147</f>
        <v>900</v>
      </c>
      <c r="X147" s="44">
        <f aca="true" t="shared" si="41" ref="X147:X153">12*Z147</f>
        <v>90</v>
      </c>
      <c r="Z147" s="22">
        <f>7+10/20</f>
        <v>7.5</v>
      </c>
      <c r="AD147" s="44"/>
      <c r="AH147" s="22">
        <f>Z147*Q147</f>
        <v>75</v>
      </c>
      <c r="AI147">
        <v>7</v>
      </c>
      <c r="AJ147">
        <v>10</v>
      </c>
      <c r="AK147">
        <v>0</v>
      </c>
      <c r="AL147" s="22">
        <f aca="true" t="shared" si="42" ref="AL147:AL153">Z147*1</f>
        <v>7.5</v>
      </c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BF147" s="7"/>
      <c r="BG147" s="19"/>
      <c r="BH147" s="19"/>
      <c r="BR147" s="33"/>
      <c r="BU147" s="20"/>
      <c r="BY147" s="44">
        <f aca="true" t="shared" si="43" ref="BY147:BY153">W147+(BQ147*12*Q147)+BV147</f>
        <v>900</v>
      </c>
      <c r="BZ147" s="44">
        <f aca="true" t="shared" si="44" ref="BZ147:BZ153">BY147/Q147</f>
        <v>90</v>
      </c>
      <c r="CL147">
        <f aca="true" t="shared" si="45" ref="CL147:CL153">A147*1</f>
        <v>1462</v>
      </c>
      <c r="CM147" s="2" t="s">
        <v>564</v>
      </c>
    </row>
    <row r="148" spans="1:91" ht="12.75">
      <c r="A148" s="18">
        <v>1462</v>
      </c>
      <c r="B148" s="14" t="s">
        <v>1117</v>
      </c>
      <c r="C148" s="14" t="s">
        <v>644</v>
      </c>
      <c r="D148" s="14" t="s">
        <v>229</v>
      </c>
      <c r="E148" s="14" t="s">
        <v>38</v>
      </c>
      <c r="F148" s="32" t="s">
        <v>208</v>
      </c>
      <c r="G148" s="2"/>
      <c r="H148" s="2" t="s">
        <v>537</v>
      </c>
      <c r="I148" s="10">
        <v>5</v>
      </c>
      <c r="J148" s="22">
        <v>7</v>
      </c>
      <c r="K148" s="2" t="s">
        <v>1004</v>
      </c>
      <c r="L148" s="14" t="s">
        <v>415</v>
      </c>
      <c r="M148" s="2" t="s">
        <v>564</v>
      </c>
      <c r="N148" s="14" t="s">
        <v>509</v>
      </c>
      <c r="O148" s="14" t="s">
        <v>897</v>
      </c>
      <c r="P148" s="2" t="s">
        <v>1665</v>
      </c>
      <c r="Q148" s="10">
        <v>5</v>
      </c>
      <c r="W148" s="44">
        <f t="shared" si="40"/>
        <v>420</v>
      </c>
      <c r="X148" s="44">
        <f t="shared" si="41"/>
        <v>84</v>
      </c>
      <c r="Z148" s="22">
        <v>7</v>
      </c>
      <c r="AD148" s="44"/>
      <c r="AH148" s="22">
        <f>Z148*Q148</f>
        <v>35</v>
      </c>
      <c r="AI148">
        <v>7</v>
      </c>
      <c r="AJ148">
        <v>0</v>
      </c>
      <c r="AK148">
        <v>0</v>
      </c>
      <c r="AL148" s="22">
        <f t="shared" si="42"/>
        <v>7</v>
      </c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BF148" s="7"/>
      <c r="BG148" s="19"/>
      <c r="BH148" s="19"/>
      <c r="BR148" s="33"/>
      <c r="BU148" s="20"/>
      <c r="BY148" s="44">
        <f t="shared" si="43"/>
        <v>420</v>
      </c>
      <c r="BZ148" s="44">
        <f t="shared" si="44"/>
        <v>84</v>
      </c>
      <c r="CL148">
        <f t="shared" si="45"/>
        <v>1462</v>
      </c>
      <c r="CM148" s="2" t="s">
        <v>564</v>
      </c>
    </row>
    <row r="149" spans="1:91" ht="12.75">
      <c r="A149" s="18">
        <v>1462</v>
      </c>
      <c r="B149" s="14" t="s">
        <v>1117</v>
      </c>
      <c r="C149" s="14" t="s">
        <v>644</v>
      </c>
      <c r="D149" s="14" t="s">
        <v>229</v>
      </c>
      <c r="E149" s="14" t="s">
        <v>38</v>
      </c>
      <c r="F149" s="32" t="s">
        <v>209</v>
      </c>
      <c r="G149" s="2"/>
      <c r="H149" s="2" t="s">
        <v>537</v>
      </c>
      <c r="I149" s="10">
        <v>4</v>
      </c>
      <c r="J149" s="22">
        <v>3</v>
      </c>
      <c r="K149" s="2" t="s">
        <v>977</v>
      </c>
      <c r="L149" s="14" t="s">
        <v>415</v>
      </c>
      <c r="M149" s="2" t="s">
        <v>585</v>
      </c>
      <c r="N149" s="14" t="s">
        <v>509</v>
      </c>
      <c r="O149" s="14" t="s">
        <v>906</v>
      </c>
      <c r="P149" s="2" t="s">
        <v>1340</v>
      </c>
      <c r="Q149" s="10">
        <v>4</v>
      </c>
      <c r="W149" s="44">
        <f t="shared" si="40"/>
        <v>144</v>
      </c>
      <c r="X149" s="44">
        <f t="shared" si="41"/>
        <v>36</v>
      </c>
      <c r="Z149" s="22">
        <v>3</v>
      </c>
      <c r="AD149" s="44"/>
      <c r="AE149">
        <v>12</v>
      </c>
      <c r="AF149">
        <v>0</v>
      </c>
      <c r="AG149">
        <v>0</v>
      </c>
      <c r="AH149" s="22">
        <f>AE149+AF149/20+AG149/240</f>
        <v>12</v>
      </c>
      <c r="AI149">
        <v>3</v>
      </c>
      <c r="AJ149">
        <v>0</v>
      </c>
      <c r="AK149">
        <v>0</v>
      </c>
      <c r="AL149" s="22">
        <f t="shared" si="42"/>
        <v>3</v>
      </c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BF149" s="7"/>
      <c r="BG149" s="19"/>
      <c r="BH149" s="19"/>
      <c r="BI149" s="22">
        <v>3</v>
      </c>
      <c r="BR149" s="33"/>
      <c r="BU149" s="20"/>
      <c r="BY149" s="44">
        <f t="shared" si="43"/>
        <v>144</v>
      </c>
      <c r="BZ149" s="44">
        <f t="shared" si="44"/>
        <v>36</v>
      </c>
      <c r="CL149">
        <f t="shared" si="45"/>
        <v>1462</v>
      </c>
      <c r="CM149" s="2" t="s">
        <v>585</v>
      </c>
    </row>
    <row r="150" spans="1:91" ht="12.75">
      <c r="A150" s="18">
        <v>1462</v>
      </c>
      <c r="B150" s="14" t="s">
        <v>1117</v>
      </c>
      <c r="C150" s="14" t="s">
        <v>644</v>
      </c>
      <c r="D150" s="14" t="s">
        <v>229</v>
      </c>
      <c r="E150" s="14" t="s">
        <v>38</v>
      </c>
      <c r="F150" s="32" t="s">
        <v>210</v>
      </c>
      <c r="G150" s="2"/>
      <c r="H150" s="2" t="s">
        <v>1202</v>
      </c>
      <c r="I150" s="10">
        <v>7</v>
      </c>
      <c r="J150" s="22">
        <v>2.8</v>
      </c>
      <c r="K150" s="2" t="s">
        <v>1221</v>
      </c>
      <c r="L150" s="14" t="s">
        <v>415</v>
      </c>
      <c r="M150" s="2" t="s">
        <v>1205</v>
      </c>
      <c r="N150" s="14" t="s">
        <v>1201</v>
      </c>
      <c r="O150" s="14" t="s">
        <v>5</v>
      </c>
      <c r="P150" s="2" t="s">
        <v>917</v>
      </c>
      <c r="Q150" s="10">
        <v>7</v>
      </c>
      <c r="W150" s="44">
        <f t="shared" si="40"/>
        <v>235.19999999999996</v>
      </c>
      <c r="X150" s="44">
        <f t="shared" si="41"/>
        <v>33.599999999999994</v>
      </c>
      <c r="Z150" s="22">
        <f>2+16/20</f>
        <v>2.8</v>
      </c>
      <c r="AE150">
        <v>18</v>
      </c>
      <c r="AF150">
        <v>12</v>
      </c>
      <c r="AG150">
        <v>0</v>
      </c>
      <c r="AH150" s="22">
        <f>AE150+AF150/20+AG150/240</f>
        <v>18.6</v>
      </c>
      <c r="AI150">
        <v>2</v>
      </c>
      <c r="AJ150">
        <v>16</v>
      </c>
      <c r="AK150">
        <v>0</v>
      </c>
      <c r="AL150" s="22">
        <f t="shared" si="42"/>
        <v>2.8</v>
      </c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BI150" s="22">
        <v>2.8</v>
      </c>
      <c r="BU150" s="20"/>
      <c r="BY150" s="44">
        <f t="shared" si="43"/>
        <v>235.19999999999996</v>
      </c>
      <c r="BZ150" s="44">
        <f t="shared" si="44"/>
        <v>33.599999999999994</v>
      </c>
      <c r="CL150">
        <f t="shared" si="45"/>
        <v>1462</v>
      </c>
      <c r="CM150" s="2" t="s">
        <v>1205</v>
      </c>
    </row>
    <row r="151" spans="1:91" ht="12.75">
      <c r="A151" s="18">
        <v>1462</v>
      </c>
      <c r="B151" s="14" t="s">
        <v>1117</v>
      </c>
      <c r="C151" s="14" t="s">
        <v>644</v>
      </c>
      <c r="D151" s="14" t="s">
        <v>229</v>
      </c>
      <c r="E151" s="14" t="s">
        <v>38</v>
      </c>
      <c r="F151" s="32" t="s">
        <v>211</v>
      </c>
      <c r="G151" s="2"/>
      <c r="H151" s="2" t="s">
        <v>537</v>
      </c>
      <c r="I151" s="10">
        <v>1</v>
      </c>
      <c r="J151" s="22">
        <v>2.9</v>
      </c>
      <c r="K151" s="2" t="s">
        <v>1500</v>
      </c>
      <c r="L151" s="14" t="s">
        <v>1414</v>
      </c>
      <c r="M151" s="2" t="s">
        <v>597</v>
      </c>
      <c r="N151" s="14" t="s">
        <v>509</v>
      </c>
      <c r="O151" s="14" t="s">
        <v>1611</v>
      </c>
      <c r="P151" s="2" t="s">
        <v>1450</v>
      </c>
      <c r="Q151" s="10">
        <v>1</v>
      </c>
      <c r="W151" s="44">
        <f t="shared" si="40"/>
        <v>34.8</v>
      </c>
      <c r="X151" s="44">
        <f t="shared" si="41"/>
        <v>34.8</v>
      </c>
      <c r="Z151" s="22">
        <f>2+18/20</f>
        <v>2.9</v>
      </c>
      <c r="AD151" s="44"/>
      <c r="AE151">
        <v>2</v>
      </c>
      <c r="AF151">
        <v>18</v>
      </c>
      <c r="AG151">
        <v>0</v>
      </c>
      <c r="AH151" s="22">
        <f>AE151+AF151/20+AG151/240</f>
        <v>2.9</v>
      </c>
      <c r="AI151">
        <v>2</v>
      </c>
      <c r="AJ151">
        <v>18</v>
      </c>
      <c r="AK151">
        <v>0</v>
      </c>
      <c r="AL151" s="22">
        <f t="shared" si="42"/>
        <v>2.9</v>
      </c>
      <c r="AN151" s="22">
        <v>2.9</v>
      </c>
      <c r="AW151" s="7"/>
      <c r="BI151" s="22"/>
      <c r="BR151" s="33"/>
      <c r="BU151" s="20"/>
      <c r="BY151" s="44">
        <f t="shared" si="43"/>
        <v>34.8</v>
      </c>
      <c r="BZ151" s="44">
        <f t="shared" si="44"/>
        <v>34.8</v>
      </c>
      <c r="CL151">
        <f t="shared" si="45"/>
        <v>1462</v>
      </c>
      <c r="CM151" s="2" t="s">
        <v>597</v>
      </c>
    </row>
    <row r="152" spans="1:92" ht="12.75">
      <c r="A152" s="18">
        <v>1462</v>
      </c>
      <c r="B152" s="14" t="s">
        <v>1117</v>
      </c>
      <c r="C152" s="14" t="s">
        <v>644</v>
      </c>
      <c r="D152" s="14" t="s">
        <v>229</v>
      </c>
      <c r="E152" s="14" t="s">
        <v>38</v>
      </c>
      <c r="F152" s="32" t="s">
        <v>212</v>
      </c>
      <c r="G152" s="2"/>
      <c r="H152" s="2" t="s">
        <v>1202</v>
      </c>
      <c r="I152" s="10">
        <v>1</v>
      </c>
      <c r="J152" s="22">
        <v>2.75</v>
      </c>
      <c r="K152" s="2" t="s">
        <v>490</v>
      </c>
      <c r="L152" s="14" t="s">
        <v>415</v>
      </c>
      <c r="M152" s="2" t="s">
        <v>1204</v>
      </c>
      <c r="N152" s="14" t="s">
        <v>1201</v>
      </c>
      <c r="O152" s="14" t="s">
        <v>416</v>
      </c>
      <c r="P152" s="2" t="s">
        <v>5</v>
      </c>
      <c r="Q152" s="10">
        <v>1</v>
      </c>
      <c r="W152" s="44">
        <f t="shared" si="40"/>
        <v>33</v>
      </c>
      <c r="X152" s="44">
        <f t="shared" si="41"/>
        <v>33</v>
      </c>
      <c r="Y152" s="22">
        <f>12*AM152</f>
        <v>11.2</v>
      </c>
      <c r="Z152" s="22">
        <f>2+15/20</f>
        <v>2.75</v>
      </c>
      <c r="AD152" s="44"/>
      <c r="AE152">
        <v>2</v>
      </c>
      <c r="AF152">
        <v>15</v>
      </c>
      <c r="AG152">
        <v>0</v>
      </c>
      <c r="AH152" s="22">
        <f>AE152+AF152/20+AG152/240</f>
        <v>2.75</v>
      </c>
      <c r="AI152">
        <v>2</v>
      </c>
      <c r="AJ152">
        <v>15</v>
      </c>
      <c r="AK152">
        <v>0</v>
      </c>
      <c r="AL152" s="22">
        <f t="shared" si="42"/>
        <v>2.75</v>
      </c>
      <c r="AM152" s="22">
        <f>14/15</f>
        <v>0.9333333333333333</v>
      </c>
      <c r="AW152" s="7"/>
      <c r="BR152" s="33"/>
      <c r="BU152" s="20"/>
      <c r="BY152" s="44">
        <f t="shared" si="43"/>
        <v>33</v>
      </c>
      <c r="BZ152" s="44">
        <f t="shared" si="44"/>
        <v>33</v>
      </c>
      <c r="CL152">
        <f t="shared" si="45"/>
        <v>1462</v>
      </c>
      <c r="CM152" s="2" t="s">
        <v>1204</v>
      </c>
      <c r="CN152" t="s">
        <v>45</v>
      </c>
    </row>
    <row r="153" spans="1:91" ht="12.75">
      <c r="A153" s="18">
        <v>1462</v>
      </c>
      <c r="B153" s="14" t="s">
        <v>1117</v>
      </c>
      <c r="C153" s="14" t="s">
        <v>644</v>
      </c>
      <c r="D153" s="14" t="s">
        <v>229</v>
      </c>
      <c r="E153" s="14" t="s">
        <v>38</v>
      </c>
      <c r="F153" s="32" t="s">
        <v>213</v>
      </c>
      <c r="G153" s="2"/>
      <c r="H153" s="2" t="s">
        <v>1202</v>
      </c>
      <c r="I153" s="10">
        <v>1</v>
      </c>
      <c r="J153" s="22">
        <v>2.75</v>
      </c>
      <c r="K153" s="2" t="s">
        <v>975</v>
      </c>
      <c r="L153" s="14" t="s">
        <v>415</v>
      </c>
      <c r="M153" s="2" t="s">
        <v>1208</v>
      </c>
      <c r="N153" s="14" t="s">
        <v>1201</v>
      </c>
      <c r="O153" s="14" t="s">
        <v>906</v>
      </c>
      <c r="P153" s="2" t="s">
        <v>5</v>
      </c>
      <c r="Q153" s="10">
        <v>1</v>
      </c>
      <c r="W153" s="44">
        <f t="shared" si="40"/>
        <v>33</v>
      </c>
      <c r="X153" s="44">
        <f t="shared" si="41"/>
        <v>33</v>
      </c>
      <c r="Y153" s="22">
        <f>AM153*12</f>
        <v>11.2</v>
      </c>
      <c r="Z153" s="22">
        <f>2+15/20</f>
        <v>2.75</v>
      </c>
      <c r="AD153" s="44"/>
      <c r="AE153">
        <v>2</v>
      </c>
      <c r="AF153">
        <v>15</v>
      </c>
      <c r="AG153">
        <v>0</v>
      </c>
      <c r="AH153" s="22">
        <f>AE153+AF153/20+AG153/240</f>
        <v>2.75</v>
      </c>
      <c r="AI153">
        <v>2</v>
      </c>
      <c r="AJ153">
        <v>15</v>
      </c>
      <c r="AK153">
        <v>0</v>
      </c>
      <c r="AL153" s="22">
        <f t="shared" si="42"/>
        <v>2.75</v>
      </c>
      <c r="AM153" s="22">
        <f>14/15</f>
        <v>0.9333333333333333</v>
      </c>
      <c r="AW153" s="7"/>
      <c r="BR153" s="33"/>
      <c r="BU153" s="20"/>
      <c r="BY153" s="44">
        <f t="shared" si="43"/>
        <v>33</v>
      </c>
      <c r="BZ153" s="44">
        <f t="shared" si="44"/>
        <v>33</v>
      </c>
      <c r="CL153">
        <f t="shared" si="45"/>
        <v>1462</v>
      </c>
      <c r="CM153" s="2" t="s">
        <v>1208</v>
      </c>
    </row>
    <row r="154" spans="1:91" ht="12.75">
      <c r="A154" s="18"/>
      <c r="E154" s="14"/>
      <c r="F154" s="32"/>
      <c r="G154" s="2"/>
      <c r="J154" s="22"/>
      <c r="M154" s="2"/>
      <c r="W154" s="44"/>
      <c r="X154" s="44"/>
      <c r="AD154" s="44"/>
      <c r="AL154" s="22"/>
      <c r="AW154" s="7"/>
      <c r="BR154" s="33"/>
      <c r="BU154" s="20"/>
      <c r="BY154" s="44"/>
      <c r="BZ154" s="44"/>
      <c r="CM154" s="2"/>
    </row>
    <row r="155" spans="1:91" ht="12.75">
      <c r="A155" s="18">
        <v>1462</v>
      </c>
      <c r="B155" s="14" t="s">
        <v>1239</v>
      </c>
      <c r="C155" s="14" t="s">
        <v>644</v>
      </c>
      <c r="D155" s="14" t="s">
        <v>230</v>
      </c>
      <c r="E155" s="14" t="s">
        <v>35</v>
      </c>
      <c r="F155" s="32" t="s">
        <v>214</v>
      </c>
      <c r="G155" s="2"/>
      <c r="H155" s="2" t="s">
        <v>537</v>
      </c>
      <c r="I155" s="10">
        <v>4.5</v>
      </c>
      <c r="J155" s="22">
        <v>6.5</v>
      </c>
      <c r="K155" s="2" t="s">
        <v>824</v>
      </c>
      <c r="L155" s="14" t="s">
        <v>415</v>
      </c>
      <c r="M155" s="2" t="s">
        <v>576</v>
      </c>
      <c r="N155" s="14" t="s">
        <v>509</v>
      </c>
      <c r="O155" s="14" t="s">
        <v>1611</v>
      </c>
      <c r="P155" s="2" t="s">
        <v>1660</v>
      </c>
      <c r="Q155" s="10">
        <v>4.5</v>
      </c>
      <c r="W155" s="44">
        <f>Q155*X155</f>
        <v>351</v>
      </c>
      <c r="X155" s="44">
        <f>12*Z155</f>
        <v>78</v>
      </c>
      <c r="Z155" s="22">
        <f>6+10/20</f>
        <v>6.5</v>
      </c>
      <c r="AD155" s="44"/>
      <c r="AH155" s="22">
        <f>Z155*Q155</f>
        <v>29.25</v>
      </c>
      <c r="AI155">
        <v>6</v>
      </c>
      <c r="AJ155">
        <v>10</v>
      </c>
      <c r="AK155">
        <v>0</v>
      </c>
      <c r="AL155" s="22">
        <f>Z155*1</f>
        <v>6.5</v>
      </c>
      <c r="BA155" s="7"/>
      <c r="BR155" s="33"/>
      <c r="BU155" s="20"/>
      <c r="BY155" s="44">
        <f>W155+(BQ155*12*Q155)+BV155</f>
        <v>351</v>
      </c>
      <c r="BZ155" s="44">
        <f>BY155/Q155</f>
        <v>78</v>
      </c>
      <c r="CL155">
        <f>A155*1</f>
        <v>1462</v>
      </c>
      <c r="CM155" s="2" t="s">
        <v>576</v>
      </c>
    </row>
    <row r="156" spans="1:91" ht="12.75">
      <c r="A156" s="18">
        <v>1462</v>
      </c>
      <c r="B156" s="14" t="s">
        <v>1239</v>
      </c>
      <c r="C156" s="14" t="s">
        <v>644</v>
      </c>
      <c r="D156" s="14" t="s">
        <v>230</v>
      </c>
      <c r="E156" s="14" t="s">
        <v>35</v>
      </c>
      <c r="F156" s="32" t="s">
        <v>215</v>
      </c>
      <c r="G156" s="2"/>
      <c r="H156" s="2" t="s">
        <v>537</v>
      </c>
      <c r="I156" s="10">
        <v>10.5</v>
      </c>
      <c r="J156" s="22">
        <v>6</v>
      </c>
      <c r="K156" s="2" t="s">
        <v>1007</v>
      </c>
      <c r="L156" s="14" t="s">
        <v>415</v>
      </c>
      <c r="M156" s="2" t="s">
        <v>583</v>
      </c>
      <c r="N156" s="14" t="s">
        <v>509</v>
      </c>
      <c r="O156" s="14" t="s">
        <v>897</v>
      </c>
      <c r="P156" s="2" t="s">
        <v>1660</v>
      </c>
      <c r="Q156" s="10">
        <v>10.5</v>
      </c>
      <c r="W156" s="44">
        <f>Q156*X156</f>
        <v>756</v>
      </c>
      <c r="X156" s="44">
        <f>12*Z156</f>
        <v>72</v>
      </c>
      <c r="Z156" s="22">
        <v>6</v>
      </c>
      <c r="AD156" s="44"/>
      <c r="AH156" s="22">
        <f>Z156*Q156</f>
        <v>63</v>
      </c>
      <c r="AI156">
        <v>6</v>
      </c>
      <c r="AJ156">
        <v>0</v>
      </c>
      <c r="AK156">
        <v>0</v>
      </c>
      <c r="AL156" s="22">
        <f>Z156*1</f>
        <v>6</v>
      </c>
      <c r="BB156" s="7"/>
      <c r="BR156" s="33"/>
      <c r="BU156" s="20"/>
      <c r="BY156" s="44">
        <f>W156+(BQ156*12*Q156)+BV156</f>
        <v>756</v>
      </c>
      <c r="BZ156" s="44">
        <f>BY156/Q156</f>
        <v>72</v>
      </c>
      <c r="CL156">
        <f>A156*1</f>
        <v>1462</v>
      </c>
      <c r="CM156" s="2" t="s">
        <v>583</v>
      </c>
    </row>
    <row r="157" spans="1:91" ht="12.75">
      <c r="A157" s="18"/>
      <c r="E157" s="14"/>
      <c r="F157" s="32"/>
      <c r="G157" s="2"/>
      <c r="M157" s="2"/>
      <c r="AD157" s="44"/>
      <c r="AH157" s="22"/>
      <c r="AZ157" s="7"/>
      <c r="BR157" s="33"/>
      <c r="BU157" s="20"/>
      <c r="BY157" s="44"/>
      <c r="BZ157" s="44"/>
      <c r="CM157" s="2"/>
    </row>
    <row r="158" spans="1:92" ht="12.75">
      <c r="A158" s="18">
        <v>1463</v>
      </c>
      <c r="B158" s="14" t="s">
        <v>1117</v>
      </c>
      <c r="C158" s="14" t="s">
        <v>644</v>
      </c>
      <c r="D158" s="14" t="s">
        <v>230</v>
      </c>
      <c r="E158" s="14" t="s">
        <v>36</v>
      </c>
      <c r="F158" s="32" t="s">
        <v>216</v>
      </c>
      <c r="G158" s="2">
        <v>1</v>
      </c>
      <c r="H158" s="2" t="s">
        <v>537</v>
      </c>
      <c r="I158" s="10">
        <v>7</v>
      </c>
      <c r="J158" s="22">
        <v>6.35</v>
      </c>
      <c r="K158" s="2" t="s">
        <v>533</v>
      </c>
      <c r="L158" s="14" t="s">
        <v>415</v>
      </c>
      <c r="M158" s="2" t="s">
        <v>598</v>
      </c>
      <c r="N158" s="14" t="s">
        <v>509</v>
      </c>
      <c r="O158" s="14" t="s">
        <v>1611</v>
      </c>
      <c r="P158" s="2" t="s">
        <v>620</v>
      </c>
      <c r="Q158" s="10">
        <v>7</v>
      </c>
      <c r="W158" s="44">
        <f>Q158*X158</f>
        <v>533.3999999999999</v>
      </c>
      <c r="X158" s="44">
        <f>12*Z158</f>
        <v>76.19999999999999</v>
      </c>
      <c r="Z158" s="22">
        <f>6+7/20</f>
        <v>6.35</v>
      </c>
      <c r="AD158" s="44"/>
      <c r="AH158" s="22">
        <f>Z158*Q158</f>
        <v>44.449999999999996</v>
      </c>
      <c r="AI158">
        <v>6</v>
      </c>
      <c r="AJ158">
        <v>7</v>
      </c>
      <c r="AK158">
        <v>0</v>
      </c>
      <c r="AL158" s="22">
        <f>Z158*1</f>
        <v>6.35</v>
      </c>
      <c r="BD158" s="7"/>
      <c r="BN158" s="22">
        <f>(6+16/20)/(15+1/3)</f>
        <v>0.4434782608695652</v>
      </c>
      <c r="BO158" s="22">
        <f>(10/20)/(15+1/3)</f>
        <v>0.03260869565217391</v>
      </c>
      <c r="BQ158" s="22">
        <f>BN158+BO158+BP158</f>
        <v>0.4760869565217391</v>
      </c>
      <c r="BR158" s="34">
        <f>Z158+BQ158</f>
        <v>6.826086956521738</v>
      </c>
      <c r="BS158" s="37">
        <f>BN158/BR158</f>
        <v>0.06496815286624204</v>
      </c>
      <c r="BT158" s="37">
        <f>(BO158+BP158)/BR158</f>
        <v>0.004777070063694268</v>
      </c>
      <c r="BU158" s="20">
        <f>BQ158/BR158</f>
        <v>0.0697452229299363</v>
      </c>
      <c r="BY158" s="44">
        <f>W158+(BQ158*12*Q158)+BV158</f>
        <v>573.3913043478259</v>
      </c>
      <c r="BZ158" s="44">
        <f>BY158/Q158</f>
        <v>81.91304347826085</v>
      </c>
      <c r="CL158">
        <f>A158*1</f>
        <v>1463</v>
      </c>
      <c r="CM158" s="2" t="s">
        <v>598</v>
      </c>
      <c r="CN158" t="s">
        <v>55</v>
      </c>
    </row>
    <row r="159" spans="1:91" ht="12.75">
      <c r="A159" s="18">
        <v>1463</v>
      </c>
      <c r="B159" s="14" t="s">
        <v>1117</v>
      </c>
      <c r="C159" s="14" t="s">
        <v>644</v>
      </c>
      <c r="D159" s="14" t="s">
        <v>230</v>
      </c>
      <c r="E159" s="14" t="s">
        <v>36</v>
      </c>
      <c r="F159" s="32" t="s">
        <v>217</v>
      </c>
      <c r="G159" s="2">
        <v>1</v>
      </c>
      <c r="H159" s="2" t="s">
        <v>537</v>
      </c>
      <c r="I159" s="10">
        <v>2</v>
      </c>
      <c r="J159" s="22">
        <v>6.4</v>
      </c>
      <c r="K159" s="2" t="s">
        <v>534</v>
      </c>
      <c r="L159" s="14" t="s">
        <v>415</v>
      </c>
      <c r="M159" s="2" t="s">
        <v>598</v>
      </c>
      <c r="N159" s="14" t="s">
        <v>509</v>
      </c>
      <c r="O159" s="14" t="s">
        <v>1611</v>
      </c>
      <c r="P159" s="2" t="s">
        <v>620</v>
      </c>
      <c r="Q159" s="10">
        <v>2</v>
      </c>
      <c r="W159" s="44">
        <f>Q159*X159</f>
        <v>153.60000000000002</v>
      </c>
      <c r="X159" s="44">
        <f>12*Z159</f>
        <v>76.80000000000001</v>
      </c>
      <c r="Z159" s="22">
        <f>6+8/20</f>
        <v>6.4</v>
      </c>
      <c r="AD159" s="44"/>
      <c r="AH159" s="22">
        <f>Z159*Q159</f>
        <v>12.8</v>
      </c>
      <c r="AI159">
        <v>6</v>
      </c>
      <c r="AJ159">
        <v>8</v>
      </c>
      <c r="AK159">
        <v>0</v>
      </c>
      <c r="AL159" s="22">
        <f>Z159*1</f>
        <v>6.4</v>
      </c>
      <c r="BD159" s="7"/>
      <c r="BN159" s="22">
        <f>(6+16/20)/(15+1/3)</f>
        <v>0.4434782608695652</v>
      </c>
      <c r="BO159" s="22">
        <f>(10/20)/(15+1/3)</f>
        <v>0.03260869565217391</v>
      </c>
      <c r="BQ159" s="22">
        <f>BN159+BO159+BP159</f>
        <v>0.4760869565217391</v>
      </c>
      <c r="BR159" s="34">
        <f>Z159+BQ159</f>
        <v>6.876086956521739</v>
      </c>
      <c r="BS159" s="37">
        <f>BN159/BR159</f>
        <v>0.06449573190009485</v>
      </c>
      <c r="BT159" s="37">
        <f>(BO159+BP159)/BR159</f>
        <v>0.00474233322794815</v>
      </c>
      <c r="BU159" s="20">
        <f>BQ159/BR159</f>
        <v>0.069238065128043</v>
      </c>
      <c r="BY159" s="44">
        <f>W159+(BQ159*12*Q159)+BV159</f>
        <v>165.02608695652177</v>
      </c>
      <c r="BZ159" s="44">
        <f>BY159/Q159</f>
        <v>82.51304347826088</v>
      </c>
      <c r="CL159">
        <f>A159*1</f>
        <v>1463</v>
      </c>
      <c r="CM159" s="2" t="s">
        <v>598</v>
      </c>
    </row>
    <row r="160" spans="1:91" ht="12.75">
      <c r="A160" s="18">
        <v>1463</v>
      </c>
      <c r="B160" s="14" t="s">
        <v>1117</v>
      </c>
      <c r="C160" s="14" t="s">
        <v>644</v>
      </c>
      <c r="D160" s="14" t="s">
        <v>230</v>
      </c>
      <c r="E160" s="14" t="s">
        <v>36</v>
      </c>
      <c r="F160" s="32" t="s">
        <v>218</v>
      </c>
      <c r="G160" s="2">
        <v>1</v>
      </c>
      <c r="H160" s="2" t="s">
        <v>537</v>
      </c>
      <c r="I160" s="10">
        <f>4/3</f>
        <v>1.3333333333333333</v>
      </c>
      <c r="J160" s="22">
        <v>6.824999999999999</v>
      </c>
      <c r="K160" s="2" t="s">
        <v>534</v>
      </c>
      <c r="L160" s="14" t="s">
        <v>415</v>
      </c>
      <c r="M160" s="2" t="s">
        <v>598</v>
      </c>
      <c r="N160" s="14" t="s">
        <v>509</v>
      </c>
      <c r="O160" s="14" t="s">
        <v>1611</v>
      </c>
      <c r="P160" s="2" t="s">
        <v>620</v>
      </c>
      <c r="Q160" s="10">
        <f>4/3</f>
        <v>1.3333333333333333</v>
      </c>
      <c r="W160" s="44">
        <f>12*(9+2/20)</f>
        <v>109.19999999999999</v>
      </c>
      <c r="X160" s="44">
        <f>W160/Q160</f>
        <v>81.89999999999999</v>
      </c>
      <c r="Z160">
        <f>X160/12</f>
        <v>6.824999999999999</v>
      </c>
      <c r="AE160">
        <v>9</v>
      </c>
      <c r="AF160">
        <v>2</v>
      </c>
      <c r="AG160">
        <v>0</v>
      </c>
      <c r="AH160" s="22">
        <f>Z160*Q160</f>
        <v>9.099999999999998</v>
      </c>
      <c r="AL160" s="22">
        <f>Z160*1</f>
        <v>6.824999999999999</v>
      </c>
      <c r="BN160" s="22">
        <f>(6+16/20)/(15+1/3)</f>
        <v>0.4434782608695652</v>
      </c>
      <c r="BO160" s="22">
        <f>(10/20)/(15+1/3)</f>
        <v>0.03260869565217391</v>
      </c>
      <c r="BQ160" s="22">
        <f>BN160+BO160+BP160</f>
        <v>0.4760869565217391</v>
      </c>
      <c r="BR160" s="34">
        <f>Z160+BQ160</f>
        <v>7.301086956521738</v>
      </c>
      <c r="BS160" s="37">
        <f>BN160/BR160</f>
        <v>0.06074140241179098</v>
      </c>
      <c r="BT160" s="37">
        <f>(BO160+BP160)/BR160</f>
        <v>0.004466279589102278</v>
      </c>
      <c r="BU160" s="20">
        <f>BQ160/BR160</f>
        <v>0.06520768200089326</v>
      </c>
      <c r="BY160" s="44">
        <f>W160+(BQ160*12*Q160)+BV160</f>
        <v>116.81739130434781</v>
      </c>
      <c r="BZ160" s="44">
        <f>BY160/Q160</f>
        <v>87.61304347826086</v>
      </c>
      <c r="CL160">
        <f>A160*1</f>
        <v>1463</v>
      </c>
      <c r="CM160" s="2" t="s">
        <v>598</v>
      </c>
    </row>
    <row r="161" spans="1:91" ht="12.75">
      <c r="A161" s="18">
        <v>1463</v>
      </c>
      <c r="B161" s="14" t="s">
        <v>1117</v>
      </c>
      <c r="C161" s="14" t="s">
        <v>644</v>
      </c>
      <c r="D161" s="14" t="s">
        <v>230</v>
      </c>
      <c r="E161" s="14" t="s">
        <v>36</v>
      </c>
      <c r="F161" s="32" t="s">
        <v>219</v>
      </c>
      <c r="G161" s="2">
        <v>1</v>
      </c>
      <c r="H161" s="2" t="s">
        <v>537</v>
      </c>
      <c r="I161" s="10">
        <v>5</v>
      </c>
      <c r="J161" s="22">
        <v>7.5</v>
      </c>
      <c r="K161" s="2" t="s">
        <v>831</v>
      </c>
      <c r="L161" s="14" t="s">
        <v>415</v>
      </c>
      <c r="M161" s="2" t="s">
        <v>579</v>
      </c>
      <c r="N161" s="14" t="s">
        <v>509</v>
      </c>
      <c r="O161" s="14" t="s">
        <v>5</v>
      </c>
      <c r="P161" s="2" t="s">
        <v>620</v>
      </c>
      <c r="Q161" s="10">
        <v>5</v>
      </c>
      <c r="W161" s="44">
        <f>Q161*X161</f>
        <v>450</v>
      </c>
      <c r="X161" s="44">
        <f>12*Z161</f>
        <v>90</v>
      </c>
      <c r="Z161" s="22">
        <f>7+10/20</f>
        <v>7.5</v>
      </c>
      <c r="AD161" s="44"/>
      <c r="AH161" s="22">
        <f>Z161*Q161</f>
        <v>37.5</v>
      </c>
      <c r="AI161">
        <v>7</v>
      </c>
      <c r="AJ161">
        <v>10</v>
      </c>
      <c r="AK161">
        <v>0</v>
      </c>
      <c r="AL161" s="22">
        <f>Z161*1</f>
        <v>7.5</v>
      </c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BI161" s="7"/>
      <c r="BN161" s="22">
        <f>(6+16/20)/(15+1/3)</f>
        <v>0.4434782608695652</v>
      </c>
      <c r="BO161" s="22">
        <f>(10/20)/(15+1/3)</f>
        <v>0.03260869565217391</v>
      </c>
      <c r="BQ161" s="22">
        <f>BN161+BO161+BP161</f>
        <v>0.4760869565217391</v>
      </c>
      <c r="BR161" s="34">
        <f>Z161+BQ161</f>
        <v>7.976086956521739</v>
      </c>
      <c r="BS161" s="37">
        <f>BN161/BR161</f>
        <v>0.05560098119378577</v>
      </c>
      <c r="BT161" s="37">
        <f>(BO161+BP161)/BR161</f>
        <v>0.004088307440719542</v>
      </c>
      <c r="BU161" s="20">
        <f>BQ161/BR161</f>
        <v>0.059689288634505316</v>
      </c>
      <c r="BY161" s="44">
        <f>W161+(BQ161*12*Q161)+BV161</f>
        <v>478.5652173913044</v>
      </c>
      <c r="BZ161" s="44">
        <f>BY161/Q161</f>
        <v>95.71304347826087</v>
      </c>
      <c r="CL161">
        <f>A161*1</f>
        <v>1463</v>
      </c>
      <c r="CM161" s="2" t="s">
        <v>579</v>
      </c>
    </row>
    <row r="162" spans="1:92" ht="12.75">
      <c r="A162" s="18">
        <v>1463</v>
      </c>
      <c r="B162" s="14" t="s">
        <v>1117</v>
      </c>
      <c r="C162" s="14" t="s">
        <v>644</v>
      </c>
      <c r="D162" s="14" t="s">
        <v>230</v>
      </c>
      <c r="E162" s="14" t="s">
        <v>36</v>
      </c>
      <c r="F162" s="32" t="s">
        <v>220</v>
      </c>
      <c r="G162" s="2">
        <v>1</v>
      </c>
      <c r="H162" s="2" t="s">
        <v>1202</v>
      </c>
      <c r="I162" s="10">
        <v>7</v>
      </c>
      <c r="J162" s="22">
        <v>2.4117559523809526</v>
      </c>
      <c r="K162" s="2" t="s">
        <v>1222</v>
      </c>
      <c r="L162" s="14" t="s">
        <v>415</v>
      </c>
      <c r="M162" s="2" t="s">
        <v>1205</v>
      </c>
      <c r="N162" s="14" t="s">
        <v>1201</v>
      </c>
      <c r="O162" s="14" t="s">
        <v>5</v>
      </c>
      <c r="P162" s="2" t="s">
        <v>919</v>
      </c>
      <c r="Q162" s="10">
        <v>7</v>
      </c>
      <c r="S162" s="10">
        <v>213.25</v>
      </c>
      <c r="W162" s="44">
        <f>(213.25*Y162)/20</f>
        <v>202.5875</v>
      </c>
      <c r="X162" s="44">
        <f>W162/Q162</f>
        <v>28.94107142857143</v>
      </c>
      <c r="Y162" s="22">
        <v>19</v>
      </c>
      <c r="Z162" s="22">
        <f>X162/12</f>
        <v>2.4117559523809526</v>
      </c>
      <c r="AD162" s="44"/>
      <c r="AH162" s="22">
        <f>Z162*Q162</f>
        <v>16.882291666666667</v>
      </c>
      <c r="AL162" s="22">
        <f>Z162*1</f>
        <v>2.4117559523809526</v>
      </c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Y162" s="7"/>
      <c r="BF162" s="7"/>
      <c r="BG162" s="19"/>
      <c r="BH162" s="19"/>
      <c r="BR162" s="33"/>
      <c r="BU162" s="20"/>
      <c r="BY162" s="44">
        <f>W162+(BQ162*12*Q162)+BV162</f>
        <v>202.5875</v>
      </c>
      <c r="BZ162" s="44">
        <f>BY162/Q162</f>
        <v>28.94107142857143</v>
      </c>
      <c r="CL162">
        <f>A162*1</f>
        <v>1463</v>
      </c>
      <c r="CM162" s="2" t="s">
        <v>1205</v>
      </c>
      <c r="CN162" t="s">
        <v>74</v>
      </c>
    </row>
    <row r="163" spans="1:91" ht="12.75">
      <c r="A163" s="18"/>
      <c r="E163" s="14"/>
      <c r="F163" s="32"/>
      <c r="G163" s="2"/>
      <c r="M163" s="2"/>
      <c r="W163" s="44"/>
      <c r="X163" s="44"/>
      <c r="AD163" s="44"/>
      <c r="AH163" s="22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BI163" s="7"/>
      <c r="BR163" s="33"/>
      <c r="BU163" s="20"/>
      <c r="CM163" s="2"/>
    </row>
    <row r="164" spans="1:91" ht="12.75">
      <c r="A164" s="18">
        <v>1463</v>
      </c>
      <c r="B164" s="14" t="s">
        <v>1239</v>
      </c>
      <c r="C164" s="14" t="s">
        <v>644</v>
      </c>
      <c r="D164" s="14" t="s">
        <v>231</v>
      </c>
      <c r="E164" s="14" t="s">
        <v>33</v>
      </c>
      <c r="F164" s="32" t="s">
        <v>240</v>
      </c>
      <c r="G164" s="2"/>
      <c r="H164" s="2" t="s">
        <v>537</v>
      </c>
      <c r="I164" s="10">
        <v>12</v>
      </c>
      <c r="J164" s="22">
        <v>6.75</v>
      </c>
      <c r="K164" s="2" t="s">
        <v>852</v>
      </c>
      <c r="L164" s="14" t="s">
        <v>415</v>
      </c>
      <c r="M164" s="2" t="s">
        <v>586</v>
      </c>
      <c r="N164" s="14" t="s">
        <v>509</v>
      </c>
      <c r="O164" s="14" t="s">
        <v>906</v>
      </c>
      <c r="P164" s="2" t="s">
        <v>1660</v>
      </c>
      <c r="Q164" s="10">
        <v>12</v>
      </c>
      <c r="W164" s="44">
        <f>Q164*X164</f>
        <v>972</v>
      </c>
      <c r="X164" s="44">
        <f>12*Z164</f>
        <v>81</v>
      </c>
      <c r="Z164" s="22">
        <f>6+15/20</f>
        <v>6.75</v>
      </c>
      <c r="AD164" s="44"/>
      <c r="AH164" s="22">
        <f>Z164*Q164</f>
        <v>81</v>
      </c>
      <c r="AI164">
        <v>6</v>
      </c>
      <c r="AJ164">
        <v>15</v>
      </c>
      <c r="AK164">
        <v>0</v>
      </c>
      <c r="AL164" s="22">
        <f>Z164*1</f>
        <v>6.75</v>
      </c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BI164" s="7"/>
      <c r="BR164" s="33"/>
      <c r="BU164" s="20"/>
      <c r="BY164" s="44">
        <f>W164+(BQ164*12*Q164)+BV164</f>
        <v>972</v>
      </c>
      <c r="BZ164" s="44">
        <f>BY164/Q164</f>
        <v>81</v>
      </c>
      <c r="CL164">
        <f>A164*1</f>
        <v>1463</v>
      </c>
      <c r="CM164" s="2" t="s">
        <v>586</v>
      </c>
    </row>
    <row r="165" spans="1:91" ht="12.75">
      <c r="A165" s="18">
        <v>1463</v>
      </c>
      <c r="B165" s="14" t="s">
        <v>1239</v>
      </c>
      <c r="C165" s="14" t="s">
        <v>644</v>
      </c>
      <c r="D165" s="14" t="s">
        <v>231</v>
      </c>
      <c r="E165" s="14" t="s">
        <v>33</v>
      </c>
      <c r="F165" s="32" t="s">
        <v>241</v>
      </c>
      <c r="G165" s="2"/>
      <c r="H165" s="2" t="s">
        <v>5</v>
      </c>
      <c r="I165" s="10">
        <v>2</v>
      </c>
      <c r="J165" s="22">
        <v>6.5</v>
      </c>
      <c r="K165" s="2" t="s">
        <v>979</v>
      </c>
      <c r="L165" s="14" t="s">
        <v>415</v>
      </c>
      <c r="M165" s="2" t="s">
        <v>998</v>
      </c>
      <c r="N165" s="14" t="s">
        <v>1511</v>
      </c>
      <c r="O165" s="14" t="s">
        <v>906</v>
      </c>
      <c r="P165" s="2" t="s">
        <v>1660</v>
      </c>
      <c r="Q165" s="10">
        <v>2</v>
      </c>
      <c r="W165" s="44">
        <f>Q165*X165</f>
        <v>156</v>
      </c>
      <c r="X165" s="44">
        <f>12*Z165</f>
        <v>78</v>
      </c>
      <c r="Z165" s="22">
        <f>6+10/20</f>
        <v>6.5</v>
      </c>
      <c r="AD165" s="44"/>
      <c r="AH165" s="22">
        <f>Z165*Q165</f>
        <v>13</v>
      </c>
      <c r="AI165">
        <v>6</v>
      </c>
      <c r="AJ165">
        <v>10</v>
      </c>
      <c r="AK165">
        <v>0</v>
      </c>
      <c r="AL165" s="22">
        <f>Z165*1</f>
        <v>6.5</v>
      </c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BI165" s="7"/>
      <c r="BR165" s="33"/>
      <c r="BU165" s="20"/>
      <c r="BY165" s="44">
        <f>W165+(BQ165*12*Q165)+BV165</f>
        <v>156</v>
      </c>
      <c r="BZ165" s="44">
        <f>BY165/Q165</f>
        <v>78</v>
      </c>
      <c r="CL165">
        <f>A165*1</f>
        <v>1463</v>
      </c>
      <c r="CM165" s="2" t="s">
        <v>998</v>
      </c>
    </row>
    <row r="166" spans="1:91" ht="12.75">
      <c r="A166" s="18"/>
      <c r="E166" s="14"/>
      <c r="F166" s="32"/>
      <c r="G166" s="2"/>
      <c r="M166" s="2"/>
      <c r="AD166" s="4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BI166" s="7"/>
      <c r="BR166" s="33"/>
      <c r="BU166" s="20"/>
      <c r="BY166" s="44"/>
      <c r="BZ166" s="44"/>
      <c r="CM166" s="2"/>
    </row>
    <row r="167" spans="1:92" ht="12.75">
      <c r="A167" s="18">
        <v>1464</v>
      </c>
      <c r="B167" s="14" t="s">
        <v>1117</v>
      </c>
      <c r="C167" s="14" t="s">
        <v>644</v>
      </c>
      <c r="D167" s="14" t="s">
        <v>231</v>
      </c>
      <c r="E167" s="14" t="s">
        <v>10</v>
      </c>
      <c r="F167" s="32" t="s">
        <v>242</v>
      </c>
      <c r="G167" s="2">
        <v>1</v>
      </c>
      <c r="H167" s="2" t="s">
        <v>537</v>
      </c>
      <c r="I167" s="10">
        <v>5</v>
      </c>
      <c r="J167" s="22">
        <v>7.2</v>
      </c>
      <c r="K167" s="2" t="s">
        <v>529</v>
      </c>
      <c r="L167" s="14" t="s">
        <v>415</v>
      </c>
      <c r="M167" s="2" t="s">
        <v>561</v>
      </c>
      <c r="N167" s="14" t="s">
        <v>509</v>
      </c>
      <c r="O167" s="14" t="s">
        <v>904</v>
      </c>
      <c r="P167" s="2" t="s">
        <v>1662</v>
      </c>
      <c r="Q167" s="10">
        <v>5</v>
      </c>
      <c r="W167" s="44">
        <f>Q167*X167</f>
        <v>432</v>
      </c>
      <c r="X167" s="44">
        <f>12*Z167</f>
        <v>86.4</v>
      </c>
      <c r="Z167" s="22">
        <f>7+4/20</f>
        <v>7.2</v>
      </c>
      <c r="AD167" s="44"/>
      <c r="AH167" s="22">
        <f>Z167*Q167</f>
        <v>36</v>
      </c>
      <c r="AI167">
        <v>7</v>
      </c>
      <c r="AJ167">
        <v>4</v>
      </c>
      <c r="AK167">
        <v>0</v>
      </c>
      <c r="AL167" s="22">
        <f>Z167*1</f>
        <v>7.2</v>
      </c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BE167" s="7"/>
      <c r="BN167" s="22">
        <f>(2+6/20)/6</f>
        <v>0.3833333333333333</v>
      </c>
      <c r="BQ167" s="22">
        <f>BN167+BO167+BP167</f>
        <v>0.3833333333333333</v>
      </c>
      <c r="BR167" s="34">
        <f>Z167+BQ167</f>
        <v>7.583333333333334</v>
      </c>
      <c r="BS167" s="37">
        <f>BN167/BR167</f>
        <v>0.05054945054945054</v>
      </c>
      <c r="BT167" s="37">
        <f>(BO167+BP167)/BR167</f>
        <v>0</v>
      </c>
      <c r="BU167" s="20">
        <f>BQ167/BR167</f>
        <v>0.05054945054945054</v>
      </c>
      <c r="BY167" s="44">
        <f aca="true" t="shared" si="46" ref="BY167:BY172">W167+(BQ167*12*Q167)+BV167</f>
        <v>455</v>
      </c>
      <c r="BZ167" s="44">
        <f>BY167/Q167</f>
        <v>91</v>
      </c>
      <c r="CL167">
        <f aca="true" t="shared" si="47" ref="CL167:CL172">A167*1</f>
        <v>1464</v>
      </c>
      <c r="CM167" s="2" t="s">
        <v>561</v>
      </c>
      <c r="CN167" t="s">
        <v>56</v>
      </c>
    </row>
    <row r="168" spans="1:91" ht="12.75">
      <c r="A168" s="18">
        <v>1464</v>
      </c>
      <c r="B168" s="14" t="s">
        <v>1117</v>
      </c>
      <c r="C168" s="14" t="s">
        <v>644</v>
      </c>
      <c r="D168" s="14" t="s">
        <v>231</v>
      </c>
      <c r="E168" s="14" t="s">
        <v>10</v>
      </c>
      <c r="F168" s="32" t="s">
        <v>243</v>
      </c>
      <c r="G168" s="2">
        <v>1</v>
      </c>
      <c r="H168" s="2" t="s">
        <v>537</v>
      </c>
      <c r="I168" s="10">
        <v>4</v>
      </c>
      <c r="J168" s="22">
        <v>7.125</v>
      </c>
      <c r="K168" s="2" t="s">
        <v>821</v>
      </c>
      <c r="L168" s="14" t="s">
        <v>415</v>
      </c>
      <c r="M168" s="2" t="s">
        <v>562</v>
      </c>
      <c r="N168" s="14" t="s">
        <v>509</v>
      </c>
      <c r="O168" s="14" t="s">
        <v>904</v>
      </c>
      <c r="P168" s="2" t="s">
        <v>1662</v>
      </c>
      <c r="Q168" s="10">
        <v>4</v>
      </c>
      <c r="W168" s="44">
        <f>Q168*X168</f>
        <v>342</v>
      </c>
      <c r="X168" s="44">
        <f>12*Z168</f>
        <v>85.5</v>
      </c>
      <c r="Z168" s="22">
        <f>7+2/20+6/240</f>
        <v>7.125</v>
      </c>
      <c r="AD168" s="44"/>
      <c r="AH168" s="22">
        <f>Z168*Q168</f>
        <v>28.5</v>
      </c>
      <c r="AI168">
        <v>7</v>
      </c>
      <c r="AJ168">
        <v>2</v>
      </c>
      <c r="AK168">
        <v>6</v>
      </c>
      <c r="AL168" s="22">
        <f>Z168*1</f>
        <v>7.125</v>
      </c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BQ168" s="22"/>
      <c r="BR168" s="34"/>
      <c r="BS168" s="37"/>
      <c r="BT168" s="37"/>
      <c r="BU168" s="20"/>
      <c r="BY168" s="44">
        <f t="shared" si="46"/>
        <v>342</v>
      </c>
      <c r="BZ168" s="44">
        <f>BY168/Q168</f>
        <v>85.5</v>
      </c>
      <c r="CL168">
        <f t="shared" si="47"/>
        <v>1464</v>
      </c>
      <c r="CM168" s="2" t="s">
        <v>562</v>
      </c>
    </row>
    <row r="169" spans="1:92" ht="12.75">
      <c r="A169" s="18">
        <v>1464</v>
      </c>
      <c r="B169" s="14" t="s">
        <v>1117</v>
      </c>
      <c r="C169" s="14" t="s">
        <v>644</v>
      </c>
      <c r="D169" s="14" t="s">
        <v>231</v>
      </c>
      <c r="E169" s="14" t="s">
        <v>10</v>
      </c>
      <c r="F169" s="32" t="s">
        <v>244</v>
      </c>
      <c r="G169" s="2">
        <v>1</v>
      </c>
      <c r="H169" s="2" t="s">
        <v>537</v>
      </c>
      <c r="I169" s="10">
        <v>1</v>
      </c>
      <c r="J169" s="22">
        <v>7.125</v>
      </c>
      <c r="K169" s="2" t="s">
        <v>826</v>
      </c>
      <c r="L169" s="14" t="s">
        <v>415</v>
      </c>
      <c r="M169" s="2" t="s">
        <v>574</v>
      </c>
      <c r="N169" s="14" t="s">
        <v>509</v>
      </c>
      <c r="O169" s="14" t="s">
        <v>904</v>
      </c>
      <c r="P169" s="2" t="s">
        <v>1662</v>
      </c>
      <c r="Q169" s="10">
        <v>1</v>
      </c>
      <c r="W169" s="44">
        <f>Q169*X169</f>
        <v>85.5</v>
      </c>
      <c r="X169" s="44">
        <f>12*Z169</f>
        <v>85.5</v>
      </c>
      <c r="Z169" s="22">
        <f>7+2/20+6/240</f>
        <v>7.125</v>
      </c>
      <c r="AD169" s="44"/>
      <c r="AE169">
        <v>7</v>
      </c>
      <c r="AF169">
        <v>2</v>
      </c>
      <c r="AG169">
        <v>6</v>
      </c>
      <c r="AH169" s="22">
        <f>AE169+AF169/20+AG169/240</f>
        <v>7.125</v>
      </c>
      <c r="AI169">
        <v>7</v>
      </c>
      <c r="AJ169">
        <v>2</v>
      </c>
      <c r="AK169">
        <v>6</v>
      </c>
      <c r="AL169" s="22">
        <f>Z169*1</f>
        <v>7.125</v>
      </c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BN169" s="22">
        <f>(2+6/20)/6</f>
        <v>0.3833333333333333</v>
      </c>
      <c r="BQ169" s="22">
        <f>BN169+BO169+BP169</f>
        <v>0.3833333333333333</v>
      </c>
      <c r="BR169" s="34">
        <f>Z169+BQ169</f>
        <v>7.508333333333333</v>
      </c>
      <c r="BS169" s="37">
        <f>BN169/BR169</f>
        <v>0.051054384017758046</v>
      </c>
      <c r="BU169" s="20">
        <f>BQ169/BR169</f>
        <v>0.051054384017758046</v>
      </c>
      <c r="BY169" s="44">
        <f t="shared" si="46"/>
        <v>90.1</v>
      </c>
      <c r="BZ169" s="44">
        <f>BY169/Q169</f>
        <v>90.1</v>
      </c>
      <c r="CL169">
        <f t="shared" si="47"/>
        <v>1464</v>
      </c>
      <c r="CM169" s="2" t="s">
        <v>574</v>
      </c>
      <c r="CN169" t="s">
        <v>1192</v>
      </c>
    </row>
    <row r="170" spans="1:91" ht="12.75">
      <c r="A170" s="18">
        <v>1464</v>
      </c>
      <c r="B170" s="14" t="s">
        <v>1117</v>
      </c>
      <c r="C170" s="14" t="s">
        <v>644</v>
      </c>
      <c r="D170" s="14" t="s">
        <v>231</v>
      </c>
      <c r="E170" s="14" t="s">
        <v>10</v>
      </c>
      <c r="F170" s="32" t="s">
        <v>245</v>
      </c>
      <c r="G170" s="2">
        <v>1</v>
      </c>
      <c r="H170" s="2" t="s">
        <v>537</v>
      </c>
      <c r="I170" s="10">
        <v>3</v>
      </c>
      <c r="J170" s="22">
        <v>6.833333333333333</v>
      </c>
      <c r="K170" s="2" t="s">
        <v>828</v>
      </c>
      <c r="L170" s="14" t="s">
        <v>415</v>
      </c>
      <c r="M170" s="2" t="s">
        <v>573</v>
      </c>
      <c r="N170" s="14" t="s">
        <v>509</v>
      </c>
      <c r="O170" s="14" t="s">
        <v>1535</v>
      </c>
      <c r="P170" s="2" t="s">
        <v>1662</v>
      </c>
      <c r="Q170" s="10">
        <v>3</v>
      </c>
      <c r="W170" s="44">
        <f>Q170*X170</f>
        <v>246</v>
      </c>
      <c r="X170" s="44">
        <f>12*Z170</f>
        <v>82</v>
      </c>
      <c r="Z170" s="22">
        <f>6+16/20+8/240</f>
        <v>6.833333333333333</v>
      </c>
      <c r="AD170" s="44"/>
      <c r="AH170" s="22">
        <f>Z170*Q170</f>
        <v>20.5</v>
      </c>
      <c r="AI170">
        <v>6</v>
      </c>
      <c r="AJ170">
        <v>16</v>
      </c>
      <c r="AK170">
        <v>8</v>
      </c>
      <c r="AL170" s="22">
        <f>Z170*1</f>
        <v>6.833333333333333</v>
      </c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BU170" s="20"/>
      <c r="BY170" s="44">
        <f t="shared" si="46"/>
        <v>246</v>
      </c>
      <c r="BZ170" s="44">
        <f>BY170/Q170</f>
        <v>82</v>
      </c>
      <c r="CL170">
        <f t="shared" si="47"/>
        <v>1464</v>
      </c>
      <c r="CM170" s="2" t="s">
        <v>573</v>
      </c>
    </row>
    <row r="171" spans="1:91" ht="12.75">
      <c r="A171" s="18">
        <v>1464</v>
      </c>
      <c r="B171" s="14" t="s">
        <v>1117</v>
      </c>
      <c r="C171" s="14" t="s">
        <v>644</v>
      </c>
      <c r="D171" s="14" t="s">
        <v>231</v>
      </c>
      <c r="E171" s="14" t="s">
        <v>10</v>
      </c>
      <c r="F171" s="32" t="s">
        <v>246</v>
      </c>
      <c r="G171" s="2">
        <v>1</v>
      </c>
      <c r="H171" s="2" t="s">
        <v>537</v>
      </c>
      <c r="I171" s="10">
        <v>1</v>
      </c>
      <c r="J171" s="22">
        <v>6.75</v>
      </c>
      <c r="K171" s="2" t="s">
        <v>828</v>
      </c>
      <c r="L171" s="14" t="s">
        <v>415</v>
      </c>
      <c r="M171" s="2" t="s">
        <v>572</v>
      </c>
      <c r="N171" s="14" t="s">
        <v>509</v>
      </c>
      <c r="O171" s="14" t="s">
        <v>1535</v>
      </c>
      <c r="P171" s="2" t="s">
        <v>1662</v>
      </c>
      <c r="Q171" s="10">
        <v>1</v>
      </c>
      <c r="W171" s="44">
        <f>Q171*X171</f>
        <v>81</v>
      </c>
      <c r="X171" s="44">
        <f>12*Z171</f>
        <v>81</v>
      </c>
      <c r="Z171" s="22">
        <f>6+15/20</f>
        <v>6.75</v>
      </c>
      <c r="AD171" s="44"/>
      <c r="AE171">
        <v>6</v>
      </c>
      <c r="AF171">
        <v>15</v>
      </c>
      <c r="AG171">
        <v>0</v>
      </c>
      <c r="AH171" s="22">
        <f>AE171+AF171/20+AG171/240</f>
        <v>6.75</v>
      </c>
      <c r="AI171">
        <v>6</v>
      </c>
      <c r="AJ171">
        <v>15</v>
      </c>
      <c r="AK171">
        <v>0</v>
      </c>
      <c r="AL171" s="22">
        <f>Z171*1</f>
        <v>6.75</v>
      </c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BA171" s="7"/>
      <c r="BR171" s="33"/>
      <c r="BU171" s="20"/>
      <c r="BY171" s="44">
        <f t="shared" si="46"/>
        <v>81</v>
      </c>
      <c r="BZ171" s="44">
        <f>BY171/Q171</f>
        <v>81</v>
      </c>
      <c r="CL171">
        <f t="shared" si="47"/>
        <v>1464</v>
      </c>
      <c r="CM171" s="2" t="s">
        <v>572</v>
      </c>
    </row>
    <row r="172" spans="1:91" ht="12.75">
      <c r="A172" s="18">
        <v>1464</v>
      </c>
      <c r="B172" s="14" t="s">
        <v>1117</v>
      </c>
      <c r="C172" s="14" t="s">
        <v>644</v>
      </c>
      <c r="D172" s="14" t="s">
        <v>231</v>
      </c>
      <c r="E172" s="14" t="s">
        <v>10</v>
      </c>
      <c r="F172" s="32" t="s">
        <v>247</v>
      </c>
      <c r="G172" s="2">
        <v>1</v>
      </c>
      <c r="H172" s="2" t="s">
        <v>5</v>
      </c>
      <c r="K172" s="2" t="s">
        <v>781</v>
      </c>
      <c r="L172" s="14" t="s">
        <v>415</v>
      </c>
      <c r="M172" s="2" t="s">
        <v>780</v>
      </c>
      <c r="N172" s="14" t="s">
        <v>1595</v>
      </c>
      <c r="O172" s="14" t="s">
        <v>906</v>
      </c>
      <c r="P172" s="2" t="s">
        <v>1666</v>
      </c>
      <c r="R172" s="10">
        <v>7</v>
      </c>
      <c r="W172" s="44">
        <f>Y172*R172/20</f>
        <v>20.3</v>
      </c>
      <c r="Y172" s="22">
        <f>12*(4+10/12)</f>
        <v>58</v>
      </c>
      <c r="AD172" s="44"/>
      <c r="AH172" s="22">
        <f>W172/12</f>
        <v>1.6916666666666667</v>
      </c>
      <c r="AM172" s="34">
        <f>4+10/12</f>
        <v>4.833333333333333</v>
      </c>
      <c r="AN172" s="34"/>
      <c r="AO172" s="34"/>
      <c r="AP172" s="34"/>
      <c r="AQ172" s="34"/>
      <c r="AR172" s="34"/>
      <c r="AS172" s="34"/>
      <c r="AT172" s="34"/>
      <c r="AU172" s="34"/>
      <c r="AV172" s="34"/>
      <c r="BB172" s="7"/>
      <c r="BR172" s="33"/>
      <c r="BU172" s="20"/>
      <c r="BY172" s="44">
        <f t="shared" si="46"/>
        <v>20.3</v>
      </c>
      <c r="CL172">
        <f t="shared" si="47"/>
        <v>1464</v>
      </c>
      <c r="CM172" s="2" t="s">
        <v>780</v>
      </c>
    </row>
    <row r="173" spans="1:91" ht="12.75">
      <c r="A173" s="18"/>
      <c r="E173" s="14"/>
      <c r="F173" s="32"/>
      <c r="G173" s="2"/>
      <c r="M173" s="2"/>
      <c r="W173" s="44"/>
      <c r="X173" s="44"/>
      <c r="AD173" s="44"/>
      <c r="AH173" s="22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BD173" s="7"/>
      <c r="BR173" s="33"/>
      <c r="BU173" s="20"/>
      <c r="CM173" s="2"/>
    </row>
    <row r="174" spans="1:92" ht="12.75">
      <c r="A174" s="18">
        <v>1464</v>
      </c>
      <c r="B174" s="14" t="s">
        <v>1117</v>
      </c>
      <c r="C174" s="14" t="s">
        <v>644</v>
      </c>
      <c r="D174" s="14" t="s">
        <v>231</v>
      </c>
      <c r="E174" s="14" t="s">
        <v>10</v>
      </c>
      <c r="F174" s="32" t="s">
        <v>248</v>
      </c>
      <c r="G174" s="2">
        <v>2</v>
      </c>
      <c r="H174" s="2" t="s">
        <v>5</v>
      </c>
      <c r="I174" s="10">
        <v>3</v>
      </c>
      <c r="J174" s="22">
        <v>3.333333333333333</v>
      </c>
      <c r="K174" s="2" t="s">
        <v>981</v>
      </c>
      <c r="L174" s="14" t="s">
        <v>415</v>
      </c>
      <c r="M174" s="2" t="s">
        <v>997</v>
      </c>
      <c r="N174" s="14" t="s">
        <v>1595</v>
      </c>
      <c r="O174" s="14" t="s">
        <v>906</v>
      </c>
      <c r="P174" s="2" t="s">
        <v>1433</v>
      </c>
      <c r="Q174" s="10">
        <v>3</v>
      </c>
      <c r="W174" s="44">
        <f>Q174*X174</f>
        <v>120</v>
      </c>
      <c r="X174" s="44">
        <f>12*Z174</f>
        <v>40</v>
      </c>
      <c r="Z174" s="22">
        <f>3+6/20+8/240</f>
        <v>3.333333333333333</v>
      </c>
      <c r="AD174" s="44"/>
      <c r="AE174">
        <v>10</v>
      </c>
      <c r="AF174">
        <v>0</v>
      </c>
      <c r="AG174">
        <v>0</v>
      </c>
      <c r="AH174" s="22">
        <f>AE174+AF174/20+AG174/240</f>
        <v>10</v>
      </c>
      <c r="AI174">
        <v>3</v>
      </c>
      <c r="AJ174">
        <v>6</v>
      </c>
      <c r="AK174">
        <v>8</v>
      </c>
      <c r="AL174" s="22">
        <f>Z174*1</f>
        <v>3.333333333333333</v>
      </c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BD174" s="7"/>
      <c r="BF174" s="22">
        <v>3.3333333333333335</v>
      </c>
      <c r="BR174" s="33"/>
      <c r="BU174" s="20"/>
      <c r="BY174" s="44">
        <f aca="true" t="shared" si="48" ref="BY174:BY180">W174+(BQ174*12*Q174)+BV174</f>
        <v>120</v>
      </c>
      <c r="BZ174" s="44">
        <f>BY174/Q174</f>
        <v>40</v>
      </c>
      <c r="CL174">
        <f aca="true" t="shared" si="49" ref="CL174:CL180">A174*1</f>
        <v>1464</v>
      </c>
      <c r="CM174" s="2" t="s">
        <v>997</v>
      </c>
      <c r="CN174" t="s">
        <v>1177</v>
      </c>
    </row>
    <row r="175" spans="1:91" ht="12.75">
      <c r="A175" s="18">
        <v>1464</v>
      </c>
      <c r="B175" s="14" t="s">
        <v>1117</v>
      </c>
      <c r="C175" s="14" t="s">
        <v>644</v>
      </c>
      <c r="D175" s="14" t="s">
        <v>231</v>
      </c>
      <c r="E175" s="14" t="s">
        <v>10</v>
      </c>
      <c r="F175" s="32" t="s">
        <v>249</v>
      </c>
      <c r="G175" s="2">
        <v>2</v>
      </c>
      <c r="H175" s="2" t="s">
        <v>455</v>
      </c>
      <c r="I175" s="10">
        <v>5</v>
      </c>
      <c r="J175" s="22">
        <v>2.6941666666666664</v>
      </c>
      <c r="K175" s="2" t="s">
        <v>976</v>
      </c>
      <c r="L175" s="14" t="s">
        <v>415</v>
      </c>
      <c r="M175" s="2" t="s">
        <v>458</v>
      </c>
      <c r="N175" s="14" t="s">
        <v>464</v>
      </c>
      <c r="O175" s="14" t="s">
        <v>906</v>
      </c>
      <c r="P175" s="2" t="s">
        <v>922</v>
      </c>
      <c r="Q175" s="10">
        <v>5</v>
      </c>
      <c r="W175" s="44">
        <f>12*(13+9/20+5/240)</f>
        <v>161.65</v>
      </c>
      <c r="X175" s="44">
        <f>W175/Q175</f>
        <v>32.33</v>
      </c>
      <c r="Z175" s="22">
        <f>X175/12</f>
        <v>2.6941666666666664</v>
      </c>
      <c r="AD175" s="44"/>
      <c r="AE175">
        <v>13</v>
      </c>
      <c r="AF175">
        <v>9</v>
      </c>
      <c r="AG175">
        <v>5</v>
      </c>
      <c r="AH175" s="22">
        <f>AE175+AF175/20+AG175/240</f>
        <v>13.470833333333333</v>
      </c>
      <c r="AI175">
        <v>2</v>
      </c>
      <c r="AJ175">
        <v>13</v>
      </c>
      <c r="AK175">
        <v>10</v>
      </c>
      <c r="AL175" s="22">
        <f>Z175*1</f>
        <v>2.6941666666666664</v>
      </c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BI175" s="22">
        <v>2.6941666666666664</v>
      </c>
      <c r="BR175" s="33"/>
      <c r="BU175" s="20"/>
      <c r="BY175" s="44">
        <f t="shared" si="48"/>
        <v>161.65</v>
      </c>
      <c r="BZ175" s="44">
        <f>BY175/Q175</f>
        <v>32.33</v>
      </c>
      <c r="CL175">
        <f t="shared" si="49"/>
        <v>1464</v>
      </c>
      <c r="CM175" s="2" t="s">
        <v>458</v>
      </c>
    </row>
    <row r="176" spans="1:91" ht="12.75">
      <c r="A176" s="18">
        <v>1464</v>
      </c>
      <c r="B176" s="14" t="s">
        <v>1117</v>
      </c>
      <c r="C176" s="14" t="s">
        <v>644</v>
      </c>
      <c r="D176" s="14" t="s">
        <v>231</v>
      </c>
      <c r="E176" s="14" t="s">
        <v>10</v>
      </c>
      <c r="F176" s="32" t="s">
        <v>250</v>
      </c>
      <c r="G176" s="2">
        <v>2</v>
      </c>
      <c r="H176" s="2" t="s">
        <v>461</v>
      </c>
      <c r="K176" s="2" t="s">
        <v>786</v>
      </c>
      <c r="L176" s="14" t="s">
        <v>415</v>
      </c>
      <c r="M176" s="2" t="s">
        <v>776</v>
      </c>
      <c r="N176" s="14" t="s">
        <v>464</v>
      </c>
      <c r="O176" s="14" t="s">
        <v>906</v>
      </c>
      <c r="P176" s="2" t="s">
        <v>1639</v>
      </c>
      <c r="R176" s="10">
        <v>80</v>
      </c>
      <c r="W176" s="44">
        <f>(R176*Y176)/20</f>
        <v>84</v>
      </c>
      <c r="Y176" s="22">
        <f>AM176*12</f>
        <v>21</v>
      </c>
      <c r="AD176" s="44"/>
      <c r="AE176">
        <v>7</v>
      </c>
      <c r="AF176">
        <v>0</v>
      </c>
      <c r="AG176">
        <v>0</v>
      </c>
      <c r="AH176" s="22">
        <f>AE176+AF176/20+AG176/240</f>
        <v>7</v>
      </c>
      <c r="AM176" s="34">
        <f>21/12</f>
        <v>1.75</v>
      </c>
      <c r="AN176" s="34"/>
      <c r="AO176" s="34"/>
      <c r="AP176" s="34"/>
      <c r="AQ176" s="34"/>
      <c r="AR176" s="34"/>
      <c r="AS176" s="34"/>
      <c r="AT176" s="34"/>
      <c r="AU176" s="34"/>
      <c r="AV176" s="34"/>
      <c r="BI176" s="7"/>
      <c r="BR176" s="33"/>
      <c r="BU176" s="20"/>
      <c r="BY176" s="44">
        <f t="shared" si="48"/>
        <v>84</v>
      </c>
      <c r="BZ176" s="44"/>
      <c r="CL176">
        <f t="shared" si="49"/>
        <v>1464</v>
      </c>
      <c r="CM176" s="2" t="s">
        <v>776</v>
      </c>
    </row>
    <row r="177" spans="1:92" ht="12.75">
      <c r="A177" s="18">
        <v>1464</v>
      </c>
      <c r="B177" s="14" t="s">
        <v>1117</v>
      </c>
      <c r="C177" s="14" t="s">
        <v>644</v>
      </c>
      <c r="D177" s="14" t="s">
        <v>231</v>
      </c>
      <c r="E177" s="14" t="s">
        <v>10</v>
      </c>
      <c r="F177" s="32" t="s">
        <v>251</v>
      </c>
      <c r="G177" s="2">
        <v>2</v>
      </c>
      <c r="H177" s="2" t="s">
        <v>455</v>
      </c>
      <c r="I177" s="10">
        <v>2</v>
      </c>
      <c r="J177" s="22">
        <v>1.734375</v>
      </c>
      <c r="K177" s="2" t="s">
        <v>475</v>
      </c>
      <c r="L177" s="14" t="s">
        <v>415</v>
      </c>
      <c r="M177" s="2" t="s">
        <v>459</v>
      </c>
      <c r="N177" s="14" t="s">
        <v>464</v>
      </c>
      <c r="O177" s="14" t="s">
        <v>1668</v>
      </c>
      <c r="P177" s="2" t="s">
        <v>5</v>
      </c>
      <c r="Q177" s="10">
        <v>2</v>
      </c>
      <c r="W177" s="44">
        <f>Q177*X177</f>
        <v>41.625</v>
      </c>
      <c r="X177" s="44">
        <f>12*Z177</f>
        <v>20.8125</v>
      </c>
      <c r="Z177" s="22">
        <f>(6+18/20+9/240)/4</f>
        <v>1.734375</v>
      </c>
      <c r="AD177" s="44"/>
      <c r="AH177" s="22">
        <f>Z177*Q177</f>
        <v>3.46875</v>
      </c>
      <c r="AL177" s="22">
        <f>Z177*1</f>
        <v>1.734375</v>
      </c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BI177" s="7"/>
      <c r="BR177" s="33"/>
      <c r="BU177" s="20"/>
      <c r="BY177" s="44">
        <f t="shared" si="48"/>
        <v>41.625</v>
      </c>
      <c r="BZ177" s="44">
        <f>BY177/Q177</f>
        <v>20.8125</v>
      </c>
      <c r="CL177">
        <f t="shared" si="49"/>
        <v>1464</v>
      </c>
      <c r="CM177" s="2" t="s">
        <v>459</v>
      </c>
      <c r="CN177" t="s">
        <v>88</v>
      </c>
    </row>
    <row r="178" spans="1:91" ht="12.75">
      <c r="A178" s="18">
        <v>1464</v>
      </c>
      <c r="B178" s="14" t="s">
        <v>1117</v>
      </c>
      <c r="C178" s="14" t="s">
        <v>644</v>
      </c>
      <c r="D178" s="14" t="s">
        <v>231</v>
      </c>
      <c r="E178" s="14" t="s">
        <v>10</v>
      </c>
      <c r="F178" s="32" t="s">
        <v>252</v>
      </c>
      <c r="G178" s="2">
        <v>2</v>
      </c>
      <c r="H178" s="2" t="s">
        <v>455</v>
      </c>
      <c r="I178" s="10">
        <v>1</v>
      </c>
      <c r="J178" s="22">
        <v>1.734375</v>
      </c>
      <c r="K178" s="2" t="s">
        <v>473</v>
      </c>
      <c r="L178" s="14" t="s">
        <v>415</v>
      </c>
      <c r="M178" s="2" t="s">
        <v>457</v>
      </c>
      <c r="N178" s="14" t="s">
        <v>464</v>
      </c>
      <c r="O178" s="14" t="s">
        <v>897</v>
      </c>
      <c r="P178" s="2" t="s">
        <v>5</v>
      </c>
      <c r="Q178" s="10">
        <v>1</v>
      </c>
      <c r="W178" s="44">
        <f>Q178*X178</f>
        <v>20.8125</v>
      </c>
      <c r="X178" s="44">
        <f>12*Z178</f>
        <v>20.8125</v>
      </c>
      <c r="Z178" s="22">
        <v>1.734375</v>
      </c>
      <c r="AD178" s="44"/>
      <c r="AH178" s="22">
        <f>Z178*Q178</f>
        <v>1.734375</v>
      </c>
      <c r="AL178" s="22">
        <f>Z178*1</f>
        <v>1.734375</v>
      </c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BI178" s="7"/>
      <c r="BR178" s="33"/>
      <c r="BU178" s="20"/>
      <c r="BY178" s="44">
        <f t="shared" si="48"/>
        <v>20.8125</v>
      </c>
      <c r="BZ178" s="44">
        <f>BY178/Q178</f>
        <v>20.8125</v>
      </c>
      <c r="CL178">
        <f t="shared" si="49"/>
        <v>1464</v>
      </c>
      <c r="CM178" s="2" t="s">
        <v>457</v>
      </c>
    </row>
    <row r="179" spans="1:91" ht="12.75">
      <c r="A179" s="18">
        <v>1464</v>
      </c>
      <c r="B179" s="14" t="s">
        <v>1117</v>
      </c>
      <c r="C179" s="14" t="s">
        <v>644</v>
      </c>
      <c r="D179" s="14" t="s">
        <v>231</v>
      </c>
      <c r="E179" s="14" t="s">
        <v>10</v>
      </c>
      <c r="F179" s="32" t="s">
        <v>253</v>
      </c>
      <c r="G179" s="2">
        <v>2</v>
      </c>
      <c r="H179" s="2" t="s">
        <v>455</v>
      </c>
      <c r="I179" s="10">
        <v>1</v>
      </c>
      <c r="J179" s="22">
        <v>1.734375</v>
      </c>
      <c r="K179" s="2" t="s">
        <v>474</v>
      </c>
      <c r="L179" s="14" t="s">
        <v>415</v>
      </c>
      <c r="M179" s="2" t="s">
        <v>460</v>
      </c>
      <c r="N179" s="14" t="s">
        <v>464</v>
      </c>
      <c r="O179" s="14" t="s">
        <v>1636</v>
      </c>
      <c r="P179" s="2" t="s">
        <v>5</v>
      </c>
      <c r="Q179" s="10">
        <v>1</v>
      </c>
      <c r="W179" s="44">
        <f>Q179*X179</f>
        <v>20.8125</v>
      </c>
      <c r="X179" s="44">
        <f>12*Z179</f>
        <v>20.8125</v>
      </c>
      <c r="Z179" s="22">
        <v>1.734375</v>
      </c>
      <c r="AD179" s="44"/>
      <c r="AH179" s="22">
        <f>Z179*Q179</f>
        <v>1.734375</v>
      </c>
      <c r="AL179" s="22">
        <f>Z179*1</f>
        <v>1.734375</v>
      </c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BU179" s="20"/>
      <c r="BY179" s="44">
        <f t="shared" si="48"/>
        <v>20.8125</v>
      </c>
      <c r="BZ179" s="44">
        <f>BY179/Q179</f>
        <v>20.8125</v>
      </c>
      <c r="CL179">
        <f t="shared" si="49"/>
        <v>1464</v>
      </c>
      <c r="CM179" s="2" t="s">
        <v>460</v>
      </c>
    </row>
    <row r="180" spans="1:91" ht="12.75">
      <c r="A180" s="18">
        <v>1464</v>
      </c>
      <c r="B180" s="14" t="s">
        <v>1117</v>
      </c>
      <c r="C180" s="14" t="s">
        <v>644</v>
      </c>
      <c r="D180" s="14" t="s">
        <v>231</v>
      </c>
      <c r="E180" s="14" t="s">
        <v>10</v>
      </c>
      <c r="F180" s="32" t="s">
        <v>254</v>
      </c>
      <c r="G180" s="2">
        <v>2</v>
      </c>
      <c r="H180" s="2" t="s">
        <v>455</v>
      </c>
      <c r="I180" s="10">
        <v>4</v>
      </c>
      <c r="J180" s="22">
        <v>0.6291666666666667</v>
      </c>
      <c r="K180" s="2" t="s">
        <v>474</v>
      </c>
      <c r="L180" s="14" t="s">
        <v>415</v>
      </c>
      <c r="M180" s="2" t="s">
        <v>460</v>
      </c>
      <c r="N180" s="14" t="s">
        <v>464</v>
      </c>
      <c r="O180" s="14" t="s">
        <v>1636</v>
      </c>
      <c r="P180" s="2" t="s">
        <v>387</v>
      </c>
      <c r="Q180" s="10">
        <v>4</v>
      </c>
      <c r="W180" s="44">
        <f>12*(2+10/20+4/240)</f>
        <v>30.2</v>
      </c>
      <c r="X180" s="44">
        <f>W180/Q180</f>
        <v>7.55</v>
      </c>
      <c r="Z180" s="22">
        <f>X180/12</f>
        <v>0.6291666666666667</v>
      </c>
      <c r="AD180" s="44"/>
      <c r="AE180">
        <v>2</v>
      </c>
      <c r="AF180">
        <v>10</v>
      </c>
      <c r="AG180">
        <v>4</v>
      </c>
      <c r="AH180" s="22">
        <f>AE180+AF180/20+AG180/240</f>
        <v>2.5166666666666666</v>
      </c>
      <c r="AL180" s="22">
        <f>Z180*1</f>
        <v>0.6291666666666667</v>
      </c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BI180" s="22">
        <v>0.6291666666666667</v>
      </c>
      <c r="BR180" s="33"/>
      <c r="BU180" s="20"/>
      <c r="BY180" s="44">
        <f t="shared" si="48"/>
        <v>30.2</v>
      </c>
      <c r="BZ180" s="44">
        <f>BY180/Q180</f>
        <v>7.55</v>
      </c>
      <c r="CL180">
        <f t="shared" si="49"/>
        <v>1464</v>
      </c>
      <c r="CM180" s="2" t="s">
        <v>460</v>
      </c>
    </row>
    <row r="181" spans="1:91" ht="12.75">
      <c r="A181" s="18"/>
      <c r="E181" s="14"/>
      <c r="F181" s="32"/>
      <c r="G181" s="2"/>
      <c r="M181" s="2"/>
      <c r="W181" s="44"/>
      <c r="X181" s="44"/>
      <c r="AD181" s="4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BI181" s="7"/>
      <c r="BR181" s="33"/>
      <c r="BU181" s="20"/>
      <c r="CM181" s="2"/>
    </row>
    <row r="182" spans="1:91" ht="12.75">
      <c r="A182" s="18">
        <v>1464</v>
      </c>
      <c r="B182" s="14" t="s">
        <v>1239</v>
      </c>
      <c r="C182" s="14" t="s">
        <v>644</v>
      </c>
      <c r="D182" s="14" t="s">
        <v>232</v>
      </c>
      <c r="E182" s="14" t="s">
        <v>33</v>
      </c>
      <c r="F182" s="32" t="s">
        <v>255</v>
      </c>
      <c r="G182" s="2"/>
      <c r="H182" s="2" t="s">
        <v>537</v>
      </c>
      <c r="I182" s="10">
        <v>6</v>
      </c>
      <c r="J182" s="22">
        <v>6.25</v>
      </c>
      <c r="K182" s="2" t="s">
        <v>805</v>
      </c>
      <c r="L182" s="14" t="s">
        <v>415</v>
      </c>
      <c r="M182" s="2" t="s">
        <v>568</v>
      </c>
      <c r="N182" s="14" t="s">
        <v>509</v>
      </c>
      <c r="O182" s="14" t="s">
        <v>906</v>
      </c>
      <c r="P182" s="2" t="s">
        <v>1660</v>
      </c>
      <c r="Q182" s="10">
        <v>6</v>
      </c>
      <c r="W182" s="44">
        <f>Q182*X182</f>
        <v>450</v>
      </c>
      <c r="X182" s="44">
        <f>12*Z182</f>
        <v>75</v>
      </c>
      <c r="Z182" s="22">
        <f>6+5/20</f>
        <v>6.25</v>
      </c>
      <c r="AH182" s="22">
        <f>Z182*Q182</f>
        <v>37.5</v>
      </c>
      <c r="AI182">
        <v>6</v>
      </c>
      <c r="AJ182">
        <v>5</v>
      </c>
      <c r="AK182">
        <v>0</v>
      </c>
      <c r="AL182" s="22">
        <f>Z182*1</f>
        <v>6.25</v>
      </c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BR182" s="33"/>
      <c r="BU182" s="20"/>
      <c r="BY182" s="44">
        <f>W182+(BQ182*12*Q182)+BV182</f>
        <v>450</v>
      </c>
      <c r="BZ182" s="44">
        <f>BY182/Q182</f>
        <v>75</v>
      </c>
      <c r="CL182">
        <f>A182*1</f>
        <v>1464</v>
      </c>
      <c r="CM182" s="2" t="s">
        <v>568</v>
      </c>
    </row>
    <row r="183" spans="1:92" ht="12.75">
      <c r="A183" s="18">
        <v>1464</v>
      </c>
      <c r="B183" s="14" t="s">
        <v>1239</v>
      </c>
      <c r="C183" s="14" t="s">
        <v>644</v>
      </c>
      <c r="D183" s="14" t="s">
        <v>232</v>
      </c>
      <c r="E183" s="14" t="s">
        <v>33</v>
      </c>
      <c r="F183" s="32" t="s">
        <v>256</v>
      </c>
      <c r="G183" s="2"/>
      <c r="H183" s="2" t="s">
        <v>5</v>
      </c>
      <c r="I183" s="10">
        <v>1</v>
      </c>
      <c r="J183" s="22">
        <v>6.25</v>
      </c>
      <c r="K183" s="2" t="s">
        <v>982</v>
      </c>
      <c r="L183" s="14" t="s">
        <v>415</v>
      </c>
      <c r="M183" s="2" t="s">
        <v>997</v>
      </c>
      <c r="N183" s="14" t="s">
        <v>1511</v>
      </c>
      <c r="O183" s="14" t="s">
        <v>906</v>
      </c>
      <c r="P183" s="2" t="s">
        <v>1660</v>
      </c>
      <c r="Q183" s="10">
        <v>1</v>
      </c>
      <c r="W183" s="44">
        <f>Q183*X183</f>
        <v>75</v>
      </c>
      <c r="X183" s="44">
        <f>12*Z183</f>
        <v>75</v>
      </c>
      <c r="Z183" s="22">
        <f>6+5/20</f>
        <v>6.25</v>
      </c>
      <c r="AD183" s="44"/>
      <c r="AE183">
        <v>6</v>
      </c>
      <c r="AF183">
        <v>5</v>
      </c>
      <c r="AG183">
        <v>0</v>
      </c>
      <c r="AH183" s="22">
        <f>AE183+AF183/20+AG183/240</f>
        <v>6.25</v>
      </c>
      <c r="AI183">
        <v>6</v>
      </c>
      <c r="AJ183">
        <v>5</v>
      </c>
      <c r="AK183">
        <v>0</v>
      </c>
      <c r="AL183" s="22">
        <f>Z183*1</f>
        <v>6.25</v>
      </c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7"/>
      <c r="BR183" s="33"/>
      <c r="BU183" s="20"/>
      <c r="BY183" s="44">
        <f>W183+(BQ183*12*Q183)+BV183</f>
        <v>75</v>
      </c>
      <c r="BZ183" s="44">
        <f>BY183/Q183</f>
        <v>75</v>
      </c>
      <c r="CL183">
        <f>A183*1</f>
        <v>1464</v>
      </c>
      <c r="CM183" s="2" t="s">
        <v>997</v>
      </c>
      <c r="CN183" t="s">
        <v>1187</v>
      </c>
    </row>
    <row r="184" spans="1:91" ht="12.75">
      <c r="A184" s="18">
        <v>1464</v>
      </c>
      <c r="B184" s="14" t="s">
        <v>1239</v>
      </c>
      <c r="C184" s="14" t="s">
        <v>644</v>
      </c>
      <c r="D184" s="14" t="s">
        <v>232</v>
      </c>
      <c r="E184" s="14" t="s">
        <v>33</v>
      </c>
      <c r="F184" s="32" t="s">
        <v>257</v>
      </c>
      <c r="G184" s="2"/>
      <c r="H184" s="2" t="s">
        <v>5</v>
      </c>
      <c r="I184" s="10">
        <v>2</v>
      </c>
      <c r="J184" s="22">
        <v>6.15</v>
      </c>
      <c r="K184" s="2" t="s">
        <v>853</v>
      </c>
      <c r="L184" s="14" t="s">
        <v>415</v>
      </c>
      <c r="M184" s="2" t="s">
        <v>856</v>
      </c>
      <c r="N184" s="14" t="s">
        <v>1511</v>
      </c>
      <c r="O184" s="14" t="s">
        <v>906</v>
      </c>
      <c r="P184" s="2" t="s">
        <v>1660</v>
      </c>
      <c r="Q184" s="10">
        <v>2</v>
      </c>
      <c r="W184" s="44">
        <f>Q184*X184</f>
        <v>147.60000000000002</v>
      </c>
      <c r="X184" s="44">
        <f>12*Z184</f>
        <v>73.80000000000001</v>
      </c>
      <c r="Z184" s="22">
        <f>6+3/20</f>
        <v>6.15</v>
      </c>
      <c r="AD184" s="44"/>
      <c r="AH184" s="22">
        <f>Z184*Q184</f>
        <v>12.3</v>
      </c>
      <c r="AI184">
        <v>6</v>
      </c>
      <c r="AJ184">
        <v>3</v>
      </c>
      <c r="AK184">
        <v>0</v>
      </c>
      <c r="AL184" s="22">
        <f>Z184*1</f>
        <v>6.15</v>
      </c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7"/>
      <c r="BR184" s="33"/>
      <c r="BU184" s="20"/>
      <c r="BV184" s="44"/>
      <c r="BW184" s="44"/>
      <c r="BX184" s="37"/>
      <c r="BY184" s="44">
        <f>W184+(BQ184*12*Q184)+BV184</f>
        <v>147.60000000000002</v>
      </c>
      <c r="BZ184" s="44">
        <f>BY184/Q184</f>
        <v>73.80000000000001</v>
      </c>
      <c r="CL184">
        <f>A184*1</f>
        <v>1464</v>
      </c>
      <c r="CM184" s="2" t="s">
        <v>856</v>
      </c>
    </row>
    <row r="185" spans="1:91" ht="12.75">
      <c r="A185" s="18">
        <v>1464</v>
      </c>
      <c r="B185" s="14" t="s">
        <v>1239</v>
      </c>
      <c r="C185" s="14" t="s">
        <v>644</v>
      </c>
      <c r="D185" s="14" t="s">
        <v>232</v>
      </c>
      <c r="E185" s="14" t="s">
        <v>33</v>
      </c>
      <c r="F185" s="32" t="s">
        <v>258</v>
      </c>
      <c r="G185" s="2"/>
      <c r="H185" s="2" t="s">
        <v>537</v>
      </c>
      <c r="I185" s="10">
        <v>5</v>
      </c>
      <c r="J185" s="22">
        <v>7</v>
      </c>
      <c r="K185" s="2" t="s">
        <v>812</v>
      </c>
      <c r="L185" s="14" t="s">
        <v>415</v>
      </c>
      <c r="M185" s="2" t="s">
        <v>548</v>
      </c>
      <c r="N185" s="14" t="s">
        <v>509</v>
      </c>
      <c r="O185" s="14" t="s">
        <v>437</v>
      </c>
      <c r="P185" s="2" t="s">
        <v>1660</v>
      </c>
      <c r="Q185" s="10">
        <v>5</v>
      </c>
      <c r="W185" s="44">
        <f>Q185*X185</f>
        <v>420</v>
      </c>
      <c r="X185" s="44">
        <f>12*Z185</f>
        <v>84</v>
      </c>
      <c r="Z185" s="22">
        <v>7</v>
      </c>
      <c r="AD185" s="44"/>
      <c r="AH185" s="22">
        <f>Z185*Q185</f>
        <v>35</v>
      </c>
      <c r="AI185">
        <v>7</v>
      </c>
      <c r="AJ185">
        <v>0</v>
      </c>
      <c r="AK185">
        <v>0</v>
      </c>
      <c r="AL185" s="22">
        <f>Z185*1</f>
        <v>7</v>
      </c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BD185" s="7"/>
      <c r="BR185" s="33"/>
      <c r="BU185" s="20"/>
      <c r="BY185" s="44">
        <f>W185+(BQ185*12*Q185)+BV185</f>
        <v>420</v>
      </c>
      <c r="BZ185" s="44">
        <f>BY185/Q185</f>
        <v>84</v>
      </c>
      <c r="CL185">
        <f>A185*1</f>
        <v>1464</v>
      </c>
      <c r="CM185" s="2" t="s">
        <v>548</v>
      </c>
    </row>
    <row r="186" spans="1:91" ht="12.75">
      <c r="A186" s="18"/>
      <c r="E186" s="14"/>
      <c r="F186" s="32"/>
      <c r="G186" s="2"/>
      <c r="M186" s="2"/>
      <c r="W186" s="44"/>
      <c r="X186" s="44"/>
      <c r="AD186" s="44"/>
      <c r="AH186" s="22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BD186" s="7"/>
      <c r="BR186" s="33"/>
      <c r="BU186" s="20"/>
      <c r="CM186" s="2"/>
    </row>
    <row r="187" spans="1:92" ht="12.75">
      <c r="A187" s="18">
        <v>1465</v>
      </c>
      <c r="B187" s="14" t="s">
        <v>1117</v>
      </c>
      <c r="C187" s="14" t="s">
        <v>644</v>
      </c>
      <c r="D187" s="14" t="s">
        <v>232</v>
      </c>
      <c r="E187" s="14" t="s">
        <v>10</v>
      </c>
      <c r="F187" s="32" t="s">
        <v>259</v>
      </c>
      <c r="G187" s="2">
        <v>1</v>
      </c>
      <c r="H187" s="2" t="s">
        <v>537</v>
      </c>
      <c r="I187" s="10">
        <v>9</v>
      </c>
      <c r="J187" s="22">
        <v>7.25</v>
      </c>
      <c r="K187" s="2" t="s">
        <v>832</v>
      </c>
      <c r="L187" s="14" t="s">
        <v>415</v>
      </c>
      <c r="M187" t="s">
        <v>560</v>
      </c>
      <c r="N187" s="14" t="s">
        <v>509</v>
      </c>
      <c r="O187" s="14" t="s">
        <v>434</v>
      </c>
      <c r="P187" s="2" t="s">
        <v>618</v>
      </c>
      <c r="Q187" s="10">
        <v>9</v>
      </c>
      <c r="W187" s="44">
        <f>Q187*X187</f>
        <v>783</v>
      </c>
      <c r="X187" s="44">
        <f>12*Z187</f>
        <v>87</v>
      </c>
      <c r="Z187" s="22">
        <f>7+5/20</f>
        <v>7.25</v>
      </c>
      <c r="AD187" s="44"/>
      <c r="AH187" s="22">
        <f>Z187*Q187</f>
        <v>65.25</v>
      </c>
      <c r="AI187">
        <v>7</v>
      </c>
      <c r="AJ187">
        <v>5</v>
      </c>
      <c r="AK187">
        <v>0</v>
      </c>
      <c r="AL187" s="22">
        <f aca="true" t="shared" si="50" ref="AL187:AL192">Z187*1</f>
        <v>7.25</v>
      </c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Y187" s="7"/>
      <c r="BF187" s="7"/>
      <c r="BG187" s="19"/>
      <c r="BH187" s="19"/>
      <c r="BR187" s="33"/>
      <c r="BU187" s="20"/>
      <c r="BY187" s="44">
        <f aca="true" t="shared" si="51" ref="BY187:BY192">W187+(BQ187*12*Q187)+BV187</f>
        <v>783</v>
      </c>
      <c r="BZ187" s="44">
        <f aca="true" t="shared" si="52" ref="BZ187:BZ192">BY187/Q187</f>
        <v>87</v>
      </c>
      <c r="CL187">
        <f aca="true" t="shared" si="53" ref="CL187:CL192">A187*1</f>
        <v>1465</v>
      </c>
      <c r="CM187" t="s">
        <v>560</v>
      </c>
      <c r="CN187" t="s">
        <v>1179</v>
      </c>
    </row>
    <row r="188" spans="1:91" ht="12.75">
      <c r="A188" s="18">
        <v>1465</v>
      </c>
      <c r="B188" s="14" t="s">
        <v>1117</v>
      </c>
      <c r="C188" s="14" t="s">
        <v>644</v>
      </c>
      <c r="D188" s="14" t="s">
        <v>232</v>
      </c>
      <c r="E188" s="14" t="s">
        <v>10</v>
      </c>
      <c r="F188" s="32" t="s">
        <v>260</v>
      </c>
      <c r="G188" s="2">
        <v>1</v>
      </c>
      <c r="H188" s="2" t="s">
        <v>5</v>
      </c>
      <c r="I188" s="10">
        <v>5</v>
      </c>
      <c r="J188" s="22">
        <v>7</v>
      </c>
      <c r="K188" s="2" t="s">
        <v>858</v>
      </c>
      <c r="L188" s="14" t="s">
        <v>415</v>
      </c>
      <c r="M188" t="s">
        <v>844</v>
      </c>
      <c r="N188" s="14" t="s">
        <v>1595</v>
      </c>
      <c r="O188" s="14" t="s">
        <v>904</v>
      </c>
      <c r="P188" s="2" t="s">
        <v>618</v>
      </c>
      <c r="Q188" s="10">
        <v>5</v>
      </c>
      <c r="W188" s="44">
        <f>Q188*X188</f>
        <v>420</v>
      </c>
      <c r="X188" s="44">
        <f>12*Z188</f>
        <v>84</v>
      </c>
      <c r="Z188" s="22">
        <v>7</v>
      </c>
      <c r="AD188" s="44"/>
      <c r="AH188" s="22">
        <f>Z188*Q188</f>
        <v>35</v>
      </c>
      <c r="AI188">
        <v>7</v>
      </c>
      <c r="AJ188">
        <v>0</v>
      </c>
      <c r="AK188">
        <v>0</v>
      </c>
      <c r="AL188" s="22">
        <f t="shared" si="50"/>
        <v>7</v>
      </c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Y188" s="7"/>
      <c r="BF188" s="7"/>
      <c r="BG188" s="19"/>
      <c r="BH188" s="19"/>
      <c r="BR188" s="33"/>
      <c r="BU188" s="20"/>
      <c r="BY188" s="44">
        <f t="shared" si="51"/>
        <v>420</v>
      </c>
      <c r="BZ188" s="44">
        <f t="shared" si="52"/>
        <v>84</v>
      </c>
      <c r="CL188">
        <f t="shared" si="53"/>
        <v>1465</v>
      </c>
      <c r="CM188" t="s">
        <v>844</v>
      </c>
    </row>
    <row r="189" spans="1:91" ht="12.75">
      <c r="A189" s="18">
        <v>1465</v>
      </c>
      <c r="B189" s="14" t="s">
        <v>1117</v>
      </c>
      <c r="C189" s="14" t="s">
        <v>644</v>
      </c>
      <c r="D189" s="14" t="s">
        <v>232</v>
      </c>
      <c r="E189" s="14" t="s">
        <v>10</v>
      </c>
      <c r="F189" s="32" t="s">
        <v>261</v>
      </c>
      <c r="G189" s="2">
        <v>1</v>
      </c>
      <c r="H189" s="2" t="s">
        <v>5</v>
      </c>
      <c r="I189" s="10">
        <v>1</v>
      </c>
      <c r="J189" s="22">
        <v>2.4166666666666665</v>
      </c>
      <c r="K189" s="2" t="s">
        <v>798</v>
      </c>
      <c r="L189" s="14" t="s">
        <v>415</v>
      </c>
      <c r="M189" t="s">
        <v>816</v>
      </c>
      <c r="N189" s="14" t="s">
        <v>1595</v>
      </c>
      <c r="O189" s="14" t="s">
        <v>416</v>
      </c>
      <c r="P189" s="2" t="s">
        <v>618</v>
      </c>
      <c r="Q189" s="10">
        <v>1</v>
      </c>
      <c r="W189" s="44">
        <f>Q189*X189</f>
        <v>29</v>
      </c>
      <c r="X189" s="44">
        <f>12*Z189</f>
        <v>29</v>
      </c>
      <c r="Z189" s="22">
        <f>2+8/20+4/240</f>
        <v>2.4166666666666665</v>
      </c>
      <c r="AE189">
        <v>2</v>
      </c>
      <c r="AF189">
        <v>8</v>
      </c>
      <c r="AG189">
        <v>4</v>
      </c>
      <c r="AH189" s="22">
        <f>AE189+AF189/20+AG189/240</f>
        <v>2.4166666666666665</v>
      </c>
      <c r="AI189">
        <v>2</v>
      </c>
      <c r="AJ189">
        <v>8</v>
      </c>
      <c r="AK189">
        <v>4</v>
      </c>
      <c r="AL189" s="22">
        <f t="shared" si="50"/>
        <v>2.4166666666666665</v>
      </c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BR189" s="33"/>
      <c r="BU189" s="20"/>
      <c r="BY189" s="44">
        <f t="shared" si="51"/>
        <v>29</v>
      </c>
      <c r="BZ189" s="44">
        <f t="shared" si="52"/>
        <v>29</v>
      </c>
      <c r="CL189">
        <f t="shared" si="53"/>
        <v>1465</v>
      </c>
      <c r="CM189" t="s">
        <v>816</v>
      </c>
    </row>
    <row r="190" spans="1:92" ht="12.75">
      <c r="A190" s="18">
        <v>1465</v>
      </c>
      <c r="B190" s="14" t="s">
        <v>1117</v>
      </c>
      <c r="C190" s="14" t="s">
        <v>644</v>
      </c>
      <c r="D190" s="14" t="s">
        <v>232</v>
      </c>
      <c r="E190" s="14" t="s">
        <v>10</v>
      </c>
      <c r="F190" s="32" t="s">
        <v>262</v>
      </c>
      <c r="G190" s="2">
        <v>1</v>
      </c>
      <c r="H190" s="2" t="s">
        <v>5</v>
      </c>
      <c r="I190" s="10">
        <v>3</v>
      </c>
      <c r="J190" s="22">
        <v>2.755555555555556</v>
      </c>
      <c r="K190" s="2" t="s">
        <v>1398</v>
      </c>
      <c r="L190" s="14" t="s">
        <v>415</v>
      </c>
      <c r="M190" t="s">
        <v>1373</v>
      </c>
      <c r="N190" s="14" t="s">
        <v>1595</v>
      </c>
      <c r="O190" s="14" t="s">
        <v>1349</v>
      </c>
      <c r="P190" s="2" t="s">
        <v>1438</v>
      </c>
      <c r="Q190" s="10">
        <v>3</v>
      </c>
      <c r="W190" s="44">
        <f>12*(8+5/20+4/240)</f>
        <v>99.20000000000002</v>
      </c>
      <c r="X190" s="44">
        <f>W190/Q190</f>
        <v>33.06666666666667</v>
      </c>
      <c r="Z190" s="22">
        <f>X190/12</f>
        <v>2.755555555555556</v>
      </c>
      <c r="AD190" s="44"/>
      <c r="AE190">
        <v>8</v>
      </c>
      <c r="AF190">
        <v>5</v>
      </c>
      <c r="AG190">
        <v>4</v>
      </c>
      <c r="AH190" s="22">
        <f>AE190+AF190/20+AG190/240</f>
        <v>8.266666666666667</v>
      </c>
      <c r="AI190">
        <v>2</v>
      </c>
      <c r="AJ190">
        <v>15</v>
      </c>
      <c r="AK190">
        <v>2</v>
      </c>
      <c r="AL190" s="22">
        <f t="shared" si="50"/>
        <v>2.755555555555556</v>
      </c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BF190" s="22">
        <v>2.755555555555556</v>
      </c>
      <c r="BI190" s="7"/>
      <c r="BR190" s="33"/>
      <c r="BU190" s="20"/>
      <c r="BY190" s="44">
        <f t="shared" si="51"/>
        <v>99.20000000000002</v>
      </c>
      <c r="BZ190" s="44">
        <f t="shared" si="52"/>
        <v>33.06666666666667</v>
      </c>
      <c r="CL190">
        <f t="shared" si="53"/>
        <v>1465</v>
      </c>
      <c r="CM190" t="s">
        <v>1373</v>
      </c>
      <c r="CN190" t="s">
        <v>61</v>
      </c>
    </row>
    <row r="191" spans="1:91" ht="12.75">
      <c r="A191" s="18">
        <v>1465</v>
      </c>
      <c r="B191" s="14" t="s">
        <v>1117</v>
      </c>
      <c r="C191" s="14" t="s">
        <v>644</v>
      </c>
      <c r="D191" s="14" t="s">
        <v>232</v>
      </c>
      <c r="E191" s="14" t="s">
        <v>10</v>
      </c>
      <c r="F191" s="32" t="s">
        <v>263</v>
      </c>
      <c r="G191" s="2">
        <v>1</v>
      </c>
      <c r="H191" s="2" t="s">
        <v>5</v>
      </c>
      <c r="I191" s="10">
        <v>1</v>
      </c>
      <c r="J191" s="22">
        <v>2.25</v>
      </c>
      <c r="K191" s="2" t="s">
        <v>481</v>
      </c>
      <c r="L191" s="14" t="s">
        <v>415</v>
      </c>
      <c r="M191" t="s">
        <v>497</v>
      </c>
      <c r="N191" s="14" t="s">
        <v>1595</v>
      </c>
      <c r="O191" s="14" t="s">
        <v>416</v>
      </c>
      <c r="P191" s="2" t="s">
        <v>1142</v>
      </c>
      <c r="Q191" s="10">
        <v>1</v>
      </c>
      <c r="W191" s="44">
        <f>Q191*X191</f>
        <v>27</v>
      </c>
      <c r="X191" s="44">
        <f>12*Z191</f>
        <v>27</v>
      </c>
      <c r="Z191" s="22">
        <f>2+5/20</f>
        <v>2.25</v>
      </c>
      <c r="AD191" s="44"/>
      <c r="AE191">
        <v>2</v>
      </c>
      <c r="AF191">
        <v>5</v>
      </c>
      <c r="AG191">
        <v>0</v>
      </c>
      <c r="AH191" s="22">
        <f>AE191+AF191/20+AG191/240</f>
        <v>2.25</v>
      </c>
      <c r="AI191">
        <v>2</v>
      </c>
      <c r="AJ191">
        <v>5</v>
      </c>
      <c r="AK191">
        <v>0</v>
      </c>
      <c r="AL191" s="22">
        <f t="shared" si="50"/>
        <v>2.25</v>
      </c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BI191" s="22">
        <v>2.25</v>
      </c>
      <c r="BR191" s="33"/>
      <c r="BU191" s="20"/>
      <c r="BY191" s="44">
        <f t="shared" si="51"/>
        <v>27</v>
      </c>
      <c r="BZ191" s="44">
        <f t="shared" si="52"/>
        <v>27</v>
      </c>
      <c r="CL191">
        <f t="shared" si="53"/>
        <v>1465</v>
      </c>
      <c r="CM191" t="s">
        <v>497</v>
      </c>
    </row>
    <row r="192" spans="1:91" ht="12.75">
      <c r="A192" s="18">
        <v>1465</v>
      </c>
      <c r="B192" s="14" t="s">
        <v>1117</v>
      </c>
      <c r="C192" s="14" t="s">
        <v>644</v>
      </c>
      <c r="D192" s="14" t="s">
        <v>232</v>
      </c>
      <c r="E192" s="14" t="s">
        <v>10</v>
      </c>
      <c r="F192" s="32" t="s">
        <v>264</v>
      </c>
      <c r="G192" s="2">
        <v>1</v>
      </c>
      <c r="H192" s="2" t="s">
        <v>1216</v>
      </c>
      <c r="I192" s="10">
        <v>6</v>
      </c>
      <c r="J192" s="22">
        <v>2.01875</v>
      </c>
      <c r="K192" s="2" t="s">
        <v>491</v>
      </c>
      <c r="L192" s="14" t="s">
        <v>415</v>
      </c>
      <c r="M192" t="s">
        <v>1217</v>
      </c>
      <c r="N192" s="14" t="s">
        <v>1226</v>
      </c>
      <c r="O192" s="14" t="s">
        <v>416</v>
      </c>
      <c r="P192" s="2" t="s">
        <v>926</v>
      </c>
      <c r="Q192" s="10">
        <v>6</v>
      </c>
      <c r="W192" s="44">
        <f>12*(12+2/20+3/240)</f>
        <v>145.35</v>
      </c>
      <c r="X192" s="44">
        <f>W192/Q192</f>
        <v>24.224999999999998</v>
      </c>
      <c r="Z192" s="22">
        <f>X192/12</f>
        <v>2.01875</v>
      </c>
      <c r="AD192" s="44"/>
      <c r="AH192" s="22">
        <f>Z192*Q192</f>
        <v>12.112499999999999</v>
      </c>
      <c r="AI192">
        <v>2</v>
      </c>
      <c r="AJ192">
        <v>0</v>
      </c>
      <c r="AK192">
        <v>4.5</v>
      </c>
      <c r="AL192" s="22">
        <f t="shared" si="50"/>
        <v>2.01875</v>
      </c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BA192" s="7"/>
      <c r="BI192" s="22">
        <v>2.01875</v>
      </c>
      <c r="BR192" s="33"/>
      <c r="BU192" s="20"/>
      <c r="BY192" s="44">
        <f t="shared" si="51"/>
        <v>145.35</v>
      </c>
      <c r="BZ192" s="44">
        <f t="shared" si="52"/>
        <v>24.224999999999998</v>
      </c>
      <c r="CL192">
        <f t="shared" si="53"/>
        <v>1465</v>
      </c>
      <c r="CM192" t="s">
        <v>1217</v>
      </c>
    </row>
    <row r="193" spans="1:91" ht="12.75">
      <c r="A193" s="18"/>
      <c r="E193" s="14"/>
      <c r="F193" s="32"/>
      <c r="G193" s="2"/>
      <c r="M193" s="2"/>
      <c r="W193" s="44"/>
      <c r="AD193" s="4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BB193" s="7"/>
      <c r="BR193" s="33"/>
      <c r="BU193" s="20"/>
      <c r="BY193" s="44"/>
      <c r="BZ193" s="44"/>
      <c r="CM193" s="2"/>
    </row>
    <row r="194" spans="1:91" ht="12.75">
      <c r="A194" s="18">
        <v>1465</v>
      </c>
      <c r="B194" s="14" t="s">
        <v>1117</v>
      </c>
      <c r="C194" s="14" t="s">
        <v>644</v>
      </c>
      <c r="D194" s="14" t="s">
        <v>232</v>
      </c>
      <c r="E194" s="14" t="s">
        <v>10</v>
      </c>
      <c r="F194" s="32" t="s">
        <v>265</v>
      </c>
      <c r="G194" s="2">
        <v>2</v>
      </c>
      <c r="H194" s="2" t="s">
        <v>5</v>
      </c>
      <c r="I194" s="10">
        <v>1</v>
      </c>
      <c r="J194" s="22">
        <v>2.1666666666666665</v>
      </c>
      <c r="K194" t="s">
        <v>1396</v>
      </c>
      <c r="L194" s="14" t="s">
        <v>415</v>
      </c>
      <c r="M194" s="2" t="s">
        <v>1396</v>
      </c>
      <c r="N194" s="14" t="s">
        <v>1595</v>
      </c>
      <c r="O194" s="14" t="s">
        <v>1349</v>
      </c>
      <c r="P194" s="2" t="s">
        <v>368</v>
      </c>
      <c r="Q194" s="10">
        <v>1</v>
      </c>
      <c r="W194" s="44">
        <f>Q194*X194</f>
        <v>26</v>
      </c>
      <c r="X194" s="44">
        <f>12*Z194</f>
        <v>26</v>
      </c>
      <c r="Z194" s="22">
        <f>2+3/20+4/240</f>
        <v>2.1666666666666665</v>
      </c>
      <c r="AD194" s="44"/>
      <c r="AE194">
        <v>2</v>
      </c>
      <c r="AF194">
        <v>3</v>
      </c>
      <c r="AG194">
        <v>4</v>
      </c>
      <c r="AH194" s="22">
        <f>AE194+AF194/20+AG194/240</f>
        <v>2.1666666666666665</v>
      </c>
      <c r="AI194">
        <v>2</v>
      </c>
      <c r="AJ194">
        <v>3</v>
      </c>
      <c r="AK194">
        <v>4</v>
      </c>
      <c r="AL194" s="22">
        <f>Z194*1</f>
        <v>2.1666666666666665</v>
      </c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BI194" s="22">
        <v>2.1666666666666665</v>
      </c>
      <c r="BR194" s="33"/>
      <c r="BU194" s="20"/>
      <c r="BY194" s="44">
        <f>W194+(BQ194*12*Q194)+BV194</f>
        <v>26</v>
      </c>
      <c r="BZ194" s="44">
        <f>BY194/Q194</f>
        <v>26</v>
      </c>
      <c r="CL194">
        <f>A194*1</f>
        <v>1465</v>
      </c>
      <c r="CM194" s="2" t="s">
        <v>1396</v>
      </c>
    </row>
    <row r="195" spans="1:91" ht="12.75">
      <c r="A195" s="18">
        <v>1465</v>
      </c>
      <c r="B195" s="14" t="s">
        <v>1117</v>
      </c>
      <c r="C195" s="14" t="s">
        <v>644</v>
      </c>
      <c r="D195" s="14" t="s">
        <v>232</v>
      </c>
      <c r="E195" s="14" t="s">
        <v>10</v>
      </c>
      <c r="F195" s="32" t="s">
        <v>266</v>
      </c>
      <c r="G195" s="2">
        <v>2</v>
      </c>
      <c r="H195" s="2" t="s">
        <v>5</v>
      </c>
      <c r="I195" s="10">
        <v>3</v>
      </c>
      <c r="J195" s="22">
        <v>1.8763888888888889</v>
      </c>
      <c r="K195" t="s">
        <v>982</v>
      </c>
      <c r="L195" s="14" t="s">
        <v>415</v>
      </c>
      <c r="M195" s="2" t="s">
        <v>982</v>
      </c>
      <c r="N195" s="14" t="s">
        <v>1595</v>
      </c>
      <c r="O195" s="14" t="s">
        <v>906</v>
      </c>
      <c r="P195" s="2" t="s">
        <v>387</v>
      </c>
      <c r="Q195" s="10">
        <v>3</v>
      </c>
      <c r="W195" s="44">
        <f>12*(5+12/20+7/240)</f>
        <v>67.55</v>
      </c>
      <c r="X195" s="44">
        <f>W195/Q195</f>
        <v>22.516666666666666</v>
      </c>
      <c r="Z195" s="22">
        <f>X195/12</f>
        <v>1.8763888888888889</v>
      </c>
      <c r="AD195" s="44"/>
      <c r="AE195">
        <v>5</v>
      </c>
      <c r="AF195">
        <v>12</v>
      </c>
      <c r="AG195">
        <v>7</v>
      </c>
      <c r="AH195" s="22">
        <f>AE195+AF195/20+AG195/240</f>
        <v>5.629166666666666</v>
      </c>
      <c r="AL195" s="22">
        <f>Z195*1</f>
        <v>1.8763888888888889</v>
      </c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BI195" s="22">
        <v>1.8763888888888889</v>
      </c>
      <c r="BR195" s="33"/>
      <c r="BU195" s="20"/>
      <c r="BY195" s="44">
        <f>W195+(BQ195*12*Q195)+BV195</f>
        <v>67.55</v>
      </c>
      <c r="BZ195" s="44">
        <f>BY195/Q195</f>
        <v>22.516666666666666</v>
      </c>
      <c r="CL195">
        <f>A195*1</f>
        <v>1465</v>
      </c>
      <c r="CM195" s="2" t="s">
        <v>982</v>
      </c>
    </row>
    <row r="196" spans="1:91" ht="12.75">
      <c r="A196" s="18">
        <v>1465</v>
      </c>
      <c r="B196" s="14" t="s">
        <v>1117</v>
      </c>
      <c r="C196" s="14" t="s">
        <v>644</v>
      </c>
      <c r="D196" s="14" t="s">
        <v>232</v>
      </c>
      <c r="E196" s="14" t="s">
        <v>10</v>
      </c>
      <c r="F196" s="32" t="s">
        <v>267</v>
      </c>
      <c r="G196" s="2">
        <v>2</v>
      </c>
      <c r="H196" s="2" t="s">
        <v>5</v>
      </c>
      <c r="I196" s="10">
        <v>1</v>
      </c>
      <c r="J196" s="22">
        <v>1.4249999999999998</v>
      </c>
      <c r="K196" t="s">
        <v>481</v>
      </c>
      <c r="L196" s="14" t="s">
        <v>415</v>
      </c>
      <c r="M196" s="2" t="s">
        <v>481</v>
      </c>
      <c r="N196" s="14" t="s">
        <v>1595</v>
      </c>
      <c r="O196" s="14" t="s">
        <v>416</v>
      </c>
      <c r="P196" s="2" t="s">
        <v>387</v>
      </c>
      <c r="Q196" s="10">
        <v>1</v>
      </c>
      <c r="W196" s="44">
        <f>Q196*X196</f>
        <v>17.099999999999998</v>
      </c>
      <c r="X196" s="44">
        <f>12*Z196</f>
        <v>17.099999999999998</v>
      </c>
      <c r="Z196" s="22">
        <f>1+8/20+6/240</f>
        <v>1.4249999999999998</v>
      </c>
      <c r="AD196" s="44"/>
      <c r="AE196">
        <v>1</v>
      </c>
      <c r="AF196">
        <v>8</v>
      </c>
      <c r="AG196">
        <v>6</v>
      </c>
      <c r="AH196" s="22">
        <f>AE196+AF196/20+AG196/240</f>
        <v>1.4249999999999998</v>
      </c>
      <c r="AI196">
        <v>1</v>
      </c>
      <c r="AJ196">
        <v>8</v>
      </c>
      <c r="AK196">
        <v>6</v>
      </c>
      <c r="AL196" s="22">
        <f>Z196*1</f>
        <v>1.4249999999999998</v>
      </c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BI196" s="22">
        <v>1.425</v>
      </c>
      <c r="BR196" s="33"/>
      <c r="BU196" s="20"/>
      <c r="BY196" s="44">
        <f>W196+(BQ196*12*Q196)+BV196</f>
        <v>17.099999999999998</v>
      </c>
      <c r="BZ196" s="44">
        <f>BY196/Q196</f>
        <v>17.099999999999998</v>
      </c>
      <c r="CL196">
        <f>A196*1</f>
        <v>1465</v>
      </c>
      <c r="CM196" s="2" t="s">
        <v>481</v>
      </c>
    </row>
    <row r="197" spans="1:92" ht="12.75">
      <c r="A197" s="18">
        <v>1465</v>
      </c>
      <c r="B197" s="14" t="s">
        <v>1117</v>
      </c>
      <c r="C197" s="14" t="s">
        <v>644</v>
      </c>
      <c r="D197" s="14" t="s">
        <v>232</v>
      </c>
      <c r="E197" s="14" t="s">
        <v>10</v>
      </c>
      <c r="F197" s="32" t="s">
        <v>268</v>
      </c>
      <c r="G197" s="2">
        <v>2</v>
      </c>
      <c r="H197" s="2" t="s">
        <v>758</v>
      </c>
      <c r="I197" s="10">
        <v>6</v>
      </c>
      <c r="J197" s="22">
        <v>0.625</v>
      </c>
      <c r="K197" t="s">
        <v>1687</v>
      </c>
      <c r="L197" s="14" t="s">
        <v>415</v>
      </c>
      <c r="M197" s="2" t="s">
        <v>765</v>
      </c>
      <c r="N197" s="14" t="s">
        <v>773</v>
      </c>
      <c r="O197" s="14" t="s">
        <v>1636</v>
      </c>
      <c r="P197" s="2" t="s">
        <v>387</v>
      </c>
      <c r="Q197" s="10">
        <v>6</v>
      </c>
      <c r="W197" s="44">
        <f>12*(3+15/20)</f>
        <v>45</v>
      </c>
      <c r="X197" s="44">
        <f>W197/Q197</f>
        <v>7.5</v>
      </c>
      <c r="Z197" s="22">
        <f>X197/12</f>
        <v>0.625</v>
      </c>
      <c r="AD197" s="44"/>
      <c r="AE197">
        <v>3</v>
      </c>
      <c r="AF197">
        <v>15</v>
      </c>
      <c r="AG197">
        <v>0</v>
      </c>
      <c r="AH197" s="22">
        <f>AE197+AF197/20+AG197/240</f>
        <v>3.75</v>
      </c>
      <c r="AJ197">
        <v>12</v>
      </c>
      <c r="AK197">
        <v>6</v>
      </c>
      <c r="AL197" s="22">
        <f>Z197*1</f>
        <v>0.625</v>
      </c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BI197" s="22">
        <v>0.625</v>
      </c>
      <c r="BR197" s="33"/>
      <c r="BU197" s="20"/>
      <c r="BY197" s="44">
        <f>W197+(BQ197*12*Q197)+BV197</f>
        <v>45</v>
      </c>
      <c r="BZ197" s="44">
        <f>BY197/Q197</f>
        <v>7.5</v>
      </c>
      <c r="CL197">
        <f>A197*1</f>
        <v>1465</v>
      </c>
      <c r="CM197" s="2" t="s">
        <v>765</v>
      </c>
      <c r="CN197" t="s">
        <v>1185</v>
      </c>
    </row>
    <row r="198" spans="1:91" ht="12.75">
      <c r="A198" s="18"/>
      <c r="E198" s="14"/>
      <c r="F198" s="32"/>
      <c r="G198" s="2"/>
      <c r="J198" s="22"/>
      <c r="M198" s="2"/>
      <c r="AD198" s="44"/>
      <c r="AH198" s="22"/>
      <c r="AL198" s="22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Z198" s="7"/>
      <c r="BR198" s="33"/>
      <c r="BU198" s="20"/>
      <c r="BY198" s="44"/>
      <c r="BZ198" s="44"/>
      <c r="CM198" s="2"/>
    </row>
    <row r="199" spans="1:91" ht="12.75">
      <c r="A199" s="18">
        <v>1465</v>
      </c>
      <c r="B199" s="14" t="s">
        <v>1239</v>
      </c>
      <c r="C199" s="14" t="s">
        <v>644</v>
      </c>
      <c r="D199" s="14" t="s">
        <v>233</v>
      </c>
      <c r="E199" s="14" t="s">
        <v>34</v>
      </c>
      <c r="F199" s="32" t="s">
        <v>269</v>
      </c>
      <c r="G199" s="2"/>
      <c r="H199" s="2" t="s">
        <v>537</v>
      </c>
      <c r="I199" s="10">
        <v>9</v>
      </c>
      <c r="J199" s="22">
        <v>5.75</v>
      </c>
      <c r="K199" s="2" t="s">
        <v>836</v>
      </c>
      <c r="L199" s="14" t="s">
        <v>415</v>
      </c>
      <c r="M199" s="2" t="s">
        <v>563</v>
      </c>
      <c r="N199" s="14" t="s">
        <v>509</v>
      </c>
      <c r="O199" s="14" t="s">
        <v>913</v>
      </c>
      <c r="P199" s="2" t="s">
        <v>1660</v>
      </c>
      <c r="Q199" s="10">
        <v>9</v>
      </c>
      <c r="W199" s="44">
        <f>Q199*X199</f>
        <v>621</v>
      </c>
      <c r="X199" s="44">
        <f>12*Z199</f>
        <v>69</v>
      </c>
      <c r="Z199" s="22">
        <f>5+15/20</f>
        <v>5.75</v>
      </c>
      <c r="AH199" s="22">
        <f>Z199*Q199</f>
        <v>51.75</v>
      </c>
      <c r="AI199">
        <v>5</v>
      </c>
      <c r="AJ199">
        <v>15</v>
      </c>
      <c r="AK199">
        <v>0</v>
      </c>
      <c r="AL199" s="22">
        <f>Z199*1</f>
        <v>5.75</v>
      </c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BR199" s="33"/>
      <c r="BU199" s="20"/>
      <c r="BY199" s="44">
        <f>W199+(BQ199*12*Q199)+BV199</f>
        <v>621</v>
      </c>
      <c r="BZ199" s="44">
        <f>BY199/Q199</f>
        <v>69</v>
      </c>
      <c r="CL199">
        <f>A199*1</f>
        <v>1465</v>
      </c>
      <c r="CM199" s="2" t="s">
        <v>563</v>
      </c>
    </row>
    <row r="200" spans="1:91" ht="12.75">
      <c r="A200" s="18">
        <v>1465</v>
      </c>
      <c r="B200" s="14" t="s">
        <v>1239</v>
      </c>
      <c r="C200" s="14" t="s">
        <v>644</v>
      </c>
      <c r="D200" s="14" t="s">
        <v>233</v>
      </c>
      <c r="E200" s="14" t="s">
        <v>34</v>
      </c>
      <c r="F200" s="32" t="s">
        <v>270</v>
      </c>
      <c r="G200" s="2"/>
      <c r="H200" s="2" t="s">
        <v>537</v>
      </c>
      <c r="I200" s="10">
        <v>5</v>
      </c>
      <c r="J200" s="22">
        <v>6.35</v>
      </c>
      <c r="K200" s="2" t="s">
        <v>837</v>
      </c>
      <c r="L200" s="14" t="s">
        <v>415</v>
      </c>
      <c r="M200" s="2" t="s">
        <v>570</v>
      </c>
      <c r="N200" s="14" t="s">
        <v>507</v>
      </c>
      <c r="O200" s="14" t="s">
        <v>1109</v>
      </c>
      <c r="P200" s="2" t="s">
        <v>1660</v>
      </c>
      <c r="Q200" s="10">
        <v>5</v>
      </c>
      <c r="W200" s="44">
        <f>Q200*X200</f>
        <v>380.99999999999994</v>
      </c>
      <c r="X200" s="44">
        <f>12*Z200</f>
        <v>76.19999999999999</v>
      </c>
      <c r="Z200" s="22">
        <f>6+7/20</f>
        <v>6.35</v>
      </c>
      <c r="AD200" s="44"/>
      <c r="AH200" s="22">
        <f>Z200*Q200</f>
        <v>31.75</v>
      </c>
      <c r="AI200">
        <v>6</v>
      </c>
      <c r="AJ200">
        <v>7</v>
      </c>
      <c r="AK200">
        <v>0</v>
      </c>
      <c r="AL200" s="22">
        <f>Z200*1</f>
        <v>6.35</v>
      </c>
      <c r="BI200" s="7"/>
      <c r="BR200" s="33"/>
      <c r="BU200" s="20"/>
      <c r="BY200" s="44">
        <f>W200+(BQ200*12*Q200)+BV200</f>
        <v>380.99999999999994</v>
      </c>
      <c r="BZ200" s="44">
        <f>BY200/Q200</f>
        <v>76.19999999999999</v>
      </c>
      <c r="CL200">
        <f>A200*1</f>
        <v>1465</v>
      </c>
      <c r="CM200" s="2" t="s">
        <v>570</v>
      </c>
    </row>
    <row r="201" spans="1:91" ht="12.75">
      <c r="A201" s="18"/>
      <c r="E201" s="14"/>
      <c r="F201" s="32"/>
      <c r="G201" s="2"/>
      <c r="M201" s="2"/>
      <c r="AD201" s="44"/>
      <c r="BI201" s="7"/>
      <c r="BR201" s="33"/>
      <c r="BU201" s="20"/>
      <c r="BY201" s="44"/>
      <c r="BZ201" s="44"/>
      <c r="CM201" s="2"/>
    </row>
    <row r="202" spans="1:91" ht="12.75">
      <c r="A202" s="18">
        <v>1466</v>
      </c>
      <c r="B202" s="14" t="s">
        <v>1117</v>
      </c>
      <c r="C202" s="14" t="s">
        <v>644</v>
      </c>
      <c r="D202" s="14" t="s">
        <v>233</v>
      </c>
      <c r="E202" s="14" t="s">
        <v>34</v>
      </c>
      <c r="F202" s="32" t="s">
        <v>271</v>
      </c>
      <c r="G202" s="2"/>
      <c r="H202" s="2" t="s">
        <v>537</v>
      </c>
      <c r="I202" s="10">
        <v>4</v>
      </c>
      <c r="J202" s="22">
        <v>6.75</v>
      </c>
      <c r="K202" s="2" t="s">
        <v>1417</v>
      </c>
      <c r="L202" s="14" t="s">
        <v>415</v>
      </c>
      <c r="M202" s="2" t="s">
        <v>560</v>
      </c>
      <c r="N202" s="14" t="s">
        <v>509</v>
      </c>
      <c r="O202" s="14" t="s">
        <v>434</v>
      </c>
      <c r="P202" s="2" t="s">
        <v>618</v>
      </c>
      <c r="Q202" s="10">
        <v>4</v>
      </c>
      <c r="W202" s="44">
        <f>Q202*X202</f>
        <v>324</v>
      </c>
      <c r="X202" s="44">
        <f>12*Z202</f>
        <v>81</v>
      </c>
      <c r="Z202" s="22">
        <f>6+15/20</f>
        <v>6.75</v>
      </c>
      <c r="AD202" s="44"/>
      <c r="AH202" s="22">
        <f>Z202*Q202</f>
        <v>27</v>
      </c>
      <c r="AI202">
        <v>6</v>
      </c>
      <c r="AJ202">
        <v>15</v>
      </c>
      <c r="AK202">
        <v>0</v>
      </c>
      <c r="AL202" s="22">
        <f>Z202*1</f>
        <v>6.75</v>
      </c>
      <c r="BR202" s="33"/>
      <c r="BU202" s="20"/>
      <c r="BY202" s="44">
        <f aca="true" t="shared" si="54" ref="BY202:BY208">W202+(BQ202*12*Q202)+BV202</f>
        <v>324</v>
      </c>
      <c r="BZ202" s="44">
        <f>BY202/Q202</f>
        <v>81</v>
      </c>
      <c r="CL202">
        <f aca="true" t="shared" si="55" ref="CL202:CL208">A202*1</f>
        <v>1466</v>
      </c>
      <c r="CM202" s="2" t="s">
        <v>560</v>
      </c>
    </row>
    <row r="203" spans="1:92" ht="12.75">
      <c r="A203" s="18">
        <v>1466</v>
      </c>
      <c r="B203" s="14" t="s">
        <v>1117</v>
      </c>
      <c r="C203" s="14" t="s">
        <v>644</v>
      </c>
      <c r="D203" s="14" t="s">
        <v>233</v>
      </c>
      <c r="E203" s="14" t="s">
        <v>34</v>
      </c>
      <c r="F203" s="32" t="s">
        <v>272</v>
      </c>
      <c r="G203" s="2"/>
      <c r="H203" s="2" t="s">
        <v>5</v>
      </c>
      <c r="I203" s="10">
        <v>9</v>
      </c>
      <c r="J203" s="22">
        <v>6.5</v>
      </c>
      <c r="K203" s="2" t="s">
        <v>868</v>
      </c>
      <c r="L203" s="14" t="s">
        <v>415</v>
      </c>
      <c r="M203" s="2" t="s">
        <v>866</v>
      </c>
      <c r="N203" s="14" t="s">
        <v>1595</v>
      </c>
      <c r="O203" s="14" t="s">
        <v>1611</v>
      </c>
      <c r="P203" s="2" t="s">
        <v>618</v>
      </c>
      <c r="Q203" s="10">
        <v>9</v>
      </c>
      <c r="W203" s="44">
        <f>Q203*X203</f>
        <v>702</v>
      </c>
      <c r="X203" s="44">
        <f>12*Z203</f>
        <v>78</v>
      </c>
      <c r="Z203" s="22">
        <f>6+10/20</f>
        <v>6.5</v>
      </c>
      <c r="AD203" s="44"/>
      <c r="AH203" s="22">
        <f>Z203*Q203</f>
        <v>58.5</v>
      </c>
      <c r="AI203">
        <v>6</v>
      </c>
      <c r="AJ203">
        <v>10</v>
      </c>
      <c r="AK203">
        <v>0</v>
      </c>
      <c r="AL203" s="22">
        <f>Z203*1</f>
        <v>6.5</v>
      </c>
      <c r="AY203" s="7"/>
      <c r="BR203" s="33"/>
      <c r="BU203" s="20"/>
      <c r="BY203" s="44">
        <f t="shared" si="54"/>
        <v>702</v>
      </c>
      <c r="BZ203" s="44">
        <f>BY203/Q203</f>
        <v>78</v>
      </c>
      <c r="CL203">
        <f t="shared" si="55"/>
        <v>1466</v>
      </c>
      <c r="CM203" s="2" t="s">
        <v>866</v>
      </c>
      <c r="CN203" t="s">
        <v>1181</v>
      </c>
    </row>
    <row r="204" spans="1:91" ht="12.75">
      <c r="A204" s="18">
        <v>1466</v>
      </c>
      <c r="B204" s="14" t="s">
        <v>1117</v>
      </c>
      <c r="C204" s="14" t="s">
        <v>644</v>
      </c>
      <c r="D204" s="14" t="s">
        <v>233</v>
      </c>
      <c r="E204" s="14" t="s">
        <v>34</v>
      </c>
      <c r="F204" s="32" t="s">
        <v>273</v>
      </c>
      <c r="G204" s="2"/>
      <c r="H204" s="2" t="s">
        <v>5</v>
      </c>
      <c r="I204" s="10">
        <v>1</v>
      </c>
      <c r="J204" s="22">
        <v>6.6</v>
      </c>
      <c r="K204" s="2" t="s">
        <v>800</v>
      </c>
      <c r="L204" s="14" t="s">
        <v>415</v>
      </c>
      <c r="M204" s="2" t="s">
        <v>843</v>
      </c>
      <c r="N204" s="14" t="s">
        <v>1595</v>
      </c>
      <c r="O204" s="14" t="s">
        <v>434</v>
      </c>
      <c r="P204" s="2" t="s">
        <v>618</v>
      </c>
      <c r="Q204" s="10">
        <v>1</v>
      </c>
      <c r="W204" s="44">
        <f>Q204*X204</f>
        <v>79.19999999999999</v>
      </c>
      <c r="X204" s="44">
        <f>12*Z204</f>
        <v>79.19999999999999</v>
      </c>
      <c r="Z204" s="22">
        <f>6+12/20</f>
        <v>6.6</v>
      </c>
      <c r="AD204" s="44"/>
      <c r="AE204">
        <v>6</v>
      </c>
      <c r="AF204">
        <v>12</v>
      </c>
      <c r="AG204">
        <v>0</v>
      </c>
      <c r="AH204" s="22">
        <f>AE204+AF204/20+AG204/240</f>
        <v>6.6</v>
      </c>
      <c r="AI204">
        <v>6</v>
      </c>
      <c r="AJ204">
        <v>12</v>
      </c>
      <c r="AK204">
        <v>0</v>
      </c>
      <c r="AL204" s="22">
        <f>Z204*1</f>
        <v>6.6</v>
      </c>
      <c r="BF204" s="7"/>
      <c r="BG204" s="19"/>
      <c r="BH204" s="19"/>
      <c r="BR204" s="33"/>
      <c r="BU204" s="20"/>
      <c r="BY204" s="44">
        <f t="shared" si="54"/>
        <v>79.19999999999999</v>
      </c>
      <c r="BZ204" s="44">
        <f>BY204/Q204</f>
        <v>79.19999999999999</v>
      </c>
      <c r="CL204">
        <f t="shared" si="55"/>
        <v>1466</v>
      </c>
      <c r="CM204" s="2" t="s">
        <v>843</v>
      </c>
    </row>
    <row r="205" spans="1:91" ht="12.75">
      <c r="A205" s="18">
        <v>1466</v>
      </c>
      <c r="B205" s="14" t="s">
        <v>1117</v>
      </c>
      <c r="C205" s="14" t="s">
        <v>644</v>
      </c>
      <c r="D205" s="14" t="s">
        <v>233</v>
      </c>
      <c r="E205" s="14" t="s">
        <v>34</v>
      </c>
      <c r="F205" s="32" t="s">
        <v>274</v>
      </c>
      <c r="G205" s="2"/>
      <c r="H205" s="2" t="s">
        <v>5</v>
      </c>
      <c r="I205" s="10">
        <v>1</v>
      </c>
      <c r="J205" s="22">
        <v>2.1666666666666665</v>
      </c>
      <c r="K205" s="2" t="s">
        <v>867</v>
      </c>
      <c r="L205" s="14" t="s">
        <v>415</v>
      </c>
      <c r="M205" s="2" t="s">
        <v>866</v>
      </c>
      <c r="N205" s="14" t="s">
        <v>1595</v>
      </c>
      <c r="O205" s="14" t="s">
        <v>1611</v>
      </c>
      <c r="P205" s="2" t="s">
        <v>618</v>
      </c>
      <c r="Q205" s="10">
        <v>1</v>
      </c>
      <c r="W205" s="44">
        <f>Q205*X205</f>
        <v>26</v>
      </c>
      <c r="X205" s="44">
        <f>12*Z205</f>
        <v>26</v>
      </c>
      <c r="Z205" s="22">
        <f>2+3/20+4/240</f>
        <v>2.1666666666666665</v>
      </c>
      <c r="AD205" s="44"/>
      <c r="AE205">
        <v>2</v>
      </c>
      <c r="AF205">
        <v>3</v>
      </c>
      <c r="AG205">
        <v>4</v>
      </c>
      <c r="AH205" s="22">
        <f>AE205+AF205/20+AG205/240</f>
        <v>2.1666666666666665</v>
      </c>
      <c r="AI205">
        <v>2</v>
      </c>
      <c r="AJ205">
        <v>3</v>
      </c>
      <c r="AK205">
        <v>4</v>
      </c>
      <c r="AL205" s="22">
        <f>Z205*1</f>
        <v>2.1666666666666665</v>
      </c>
      <c r="BF205" s="7"/>
      <c r="BG205" s="19"/>
      <c r="BH205" s="19"/>
      <c r="BR205" s="33"/>
      <c r="BU205" s="20"/>
      <c r="BY205" s="44">
        <f t="shared" si="54"/>
        <v>26</v>
      </c>
      <c r="BZ205" s="44">
        <f>BY205/Q205</f>
        <v>26</v>
      </c>
      <c r="CL205">
        <f t="shared" si="55"/>
        <v>1466</v>
      </c>
      <c r="CM205" s="2" t="s">
        <v>866</v>
      </c>
    </row>
    <row r="206" spans="1:92" ht="12.75">
      <c r="A206" s="18">
        <v>1466</v>
      </c>
      <c r="B206" s="14" t="s">
        <v>1117</v>
      </c>
      <c r="C206" s="14" t="s">
        <v>644</v>
      </c>
      <c r="D206" s="14" t="s">
        <v>233</v>
      </c>
      <c r="E206" s="14" t="s">
        <v>34</v>
      </c>
      <c r="F206" s="32" t="s">
        <v>275</v>
      </c>
      <c r="G206" s="2"/>
      <c r="H206" s="2" t="s">
        <v>537</v>
      </c>
      <c r="I206" s="10">
        <v>9</v>
      </c>
      <c r="J206" s="22">
        <v>2.725</v>
      </c>
      <c r="K206" s="2" t="s">
        <v>532</v>
      </c>
      <c r="L206" s="14" t="s">
        <v>1414</v>
      </c>
      <c r="M206" s="2" t="s">
        <v>593</v>
      </c>
      <c r="N206" s="14" t="s">
        <v>509</v>
      </c>
      <c r="O206" s="14" t="s">
        <v>906</v>
      </c>
      <c r="P206" s="2" t="s">
        <v>1437</v>
      </c>
      <c r="Q206" s="10">
        <v>9</v>
      </c>
      <c r="W206" s="44">
        <f>Q206*X206</f>
        <v>294.3</v>
      </c>
      <c r="X206" s="44">
        <f>12*Z206</f>
        <v>32.7</v>
      </c>
      <c r="Z206" s="22">
        <f>2+14/20+6/240</f>
        <v>2.725</v>
      </c>
      <c r="AH206" s="22">
        <f>Z206*Q206</f>
        <v>24.525000000000002</v>
      </c>
      <c r="AI206">
        <v>2</v>
      </c>
      <c r="AJ206">
        <v>14</v>
      </c>
      <c r="AK206">
        <v>6</v>
      </c>
      <c r="AL206" s="22">
        <f>Z206*1</f>
        <v>2.725</v>
      </c>
      <c r="AN206" s="22">
        <v>2.725</v>
      </c>
      <c r="AO206" s="34"/>
      <c r="AP206" s="34"/>
      <c r="AQ206" s="34"/>
      <c r="AR206" s="34"/>
      <c r="AS206" s="34"/>
      <c r="AT206" s="34"/>
      <c r="AU206" s="34"/>
      <c r="AV206" s="34"/>
      <c r="BR206" s="33"/>
      <c r="BU206" s="20"/>
      <c r="BY206" s="44">
        <f t="shared" si="54"/>
        <v>294.3</v>
      </c>
      <c r="BZ206" s="44">
        <f>BY206/Q206</f>
        <v>32.7</v>
      </c>
      <c r="CL206">
        <f t="shared" si="55"/>
        <v>1466</v>
      </c>
      <c r="CM206" s="2" t="s">
        <v>593</v>
      </c>
      <c r="CN206" t="s">
        <v>1180</v>
      </c>
    </row>
    <row r="207" spans="1:91" ht="12.75">
      <c r="A207" s="18">
        <v>1466</v>
      </c>
      <c r="B207" s="14" t="s">
        <v>1117</v>
      </c>
      <c r="C207" s="14" t="s">
        <v>644</v>
      </c>
      <c r="D207" s="14" t="s">
        <v>233</v>
      </c>
      <c r="E207" s="14" t="s">
        <v>34</v>
      </c>
      <c r="F207" s="32" t="s">
        <v>276</v>
      </c>
      <c r="G207" s="2"/>
      <c r="H207" s="2" t="s">
        <v>5</v>
      </c>
      <c r="K207" s="2" t="s">
        <v>784</v>
      </c>
      <c r="L207" s="14" t="s">
        <v>415</v>
      </c>
      <c r="M207" s="2" t="s">
        <v>783</v>
      </c>
      <c r="N207" s="14" t="s">
        <v>1595</v>
      </c>
      <c r="O207" s="14" t="s">
        <v>1611</v>
      </c>
      <c r="P207" s="2" t="s">
        <v>5</v>
      </c>
      <c r="R207" s="10">
        <v>7</v>
      </c>
      <c r="W207" s="44">
        <f>12*(32/20+8/240)</f>
        <v>19.6</v>
      </c>
      <c r="Y207" s="22">
        <f>(20*W207)/R207</f>
        <v>56</v>
      </c>
      <c r="AH207" s="22">
        <f>(32/20+8/240)</f>
        <v>1.6333333333333335</v>
      </c>
      <c r="AM207" s="22">
        <f>Y207/12</f>
        <v>4.666666666666667</v>
      </c>
      <c r="AN207" s="34"/>
      <c r="AO207" s="34"/>
      <c r="AP207" s="34"/>
      <c r="AQ207" s="34"/>
      <c r="AR207" s="34"/>
      <c r="AS207" s="34"/>
      <c r="AT207" s="34"/>
      <c r="AU207" s="34"/>
      <c r="AV207" s="34"/>
      <c r="BR207" s="33"/>
      <c r="BU207" s="20"/>
      <c r="BY207" s="44">
        <f t="shared" si="54"/>
        <v>19.6</v>
      </c>
      <c r="BZ207" s="44"/>
      <c r="CL207">
        <f t="shared" si="55"/>
        <v>1466</v>
      </c>
      <c r="CM207" s="2" t="s">
        <v>783</v>
      </c>
    </row>
    <row r="208" spans="1:91" ht="12.75">
      <c r="A208" s="18">
        <v>1466</v>
      </c>
      <c r="B208" s="14" t="s">
        <v>1117</v>
      </c>
      <c r="C208" s="14" t="s">
        <v>644</v>
      </c>
      <c r="D208" s="14" t="s">
        <v>233</v>
      </c>
      <c r="E208" s="14" t="s">
        <v>34</v>
      </c>
      <c r="F208" s="32" t="s">
        <v>277</v>
      </c>
      <c r="G208" s="2"/>
      <c r="H208" s="2" t="s">
        <v>537</v>
      </c>
      <c r="I208" s="10">
        <v>1</v>
      </c>
      <c r="J208" s="22">
        <v>2.4</v>
      </c>
      <c r="K208" s="2" t="s">
        <v>973</v>
      </c>
      <c r="L208" s="14" t="s">
        <v>415</v>
      </c>
      <c r="M208" s="2" t="s">
        <v>585</v>
      </c>
      <c r="N208" s="14" t="s">
        <v>509</v>
      </c>
      <c r="O208" s="14" t="s">
        <v>906</v>
      </c>
      <c r="P208" s="2" t="s">
        <v>366</v>
      </c>
      <c r="Q208" s="10">
        <v>1</v>
      </c>
      <c r="W208" s="44">
        <f>Q208*X208</f>
        <v>28.799999999999997</v>
      </c>
      <c r="X208" s="44">
        <f>12*Z208</f>
        <v>28.799999999999997</v>
      </c>
      <c r="Z208" s="22">
        <f>2+8/20</f>
        <v>2.4</v>
      </c>
      <c r="AE208">
        <v>2</v>
      </c>
      <c r="AF208">
        <v>8</v>
      </c>
      <c r="AG208">
        <v>0</v>
      </c>
      <c r="AH208" s="22">
        <f>AE208+AF208/20+AG208/240</f>
        <v>2.4</v>
      </c>
      <c r="AI208">
        <v>2</v>
      </c>
      <c r="AJ208">
        <v>8</v>
      </c>
      <c r="AK208">
        <v>0</v>
      </c>
      <c r="AL208" s="22">
        <f>Z208*1</f>
        <v>2.4</v>
      </c>
      <c r="AN208" s="34"/>
      <c r="AO208" s="34"/>
      <c r="AP208" s="34"/>
      <c r="AQ208" s="34"/>
      <c r="AR208" s="34"/>
      <c r="AS208" s="34"/>
      <c r="AT208" s="34"/>
      <c r="AU208" s="34"/>
      <c r="AV208" s="34"/>
      <c r="BI208" s="22">
        <v>2.4</v>
      </c>
      <c r="BR208" s="33"/>
      <c r="BU208" s="20"/>
      <c r="BY208" s="44">
        <f t="shared" si="54"/>
        <v>28.799999999999997</v>
      </c>
      <c r="BZ208" s="44">
        <f>BY208/Q208</f>
        <v>28.799999999999997</v>
      </c>
      <c r="CL208">
        <f t="shared" si="55"/>
        <v>1466</v>
      </c>
      <c r="CM208" s="2" t="s">
        <v>585</v>
      </c>
    </row>
    <row r="209" spans="1:91" ht="12.75">
      <c r="A209" s="18"/>
      <c r="E209" s="14"/>
      <c r="F209" s="32"/>
      <c r="G209" s="2"/>
      <c r="J209" s="22"/>
      <c r="M209" s="2"/>
      <c r="AH209" s="22"/>
      <c r="AL209" s="22"/>
      <c r="CM209" s="2"/>
    </row>
    <row r="210" spans="1:92" ht="12.75">
      <c r="A210" s="18">
        <v>1466</v>
      </c>
      <c r="B210" s="14" t="s">
        <v>1239</v>
      </c>
      <c r="C210" s="14" t="s">
        <v>644</v>
      </c>
      <c r="D210" s="14" t="s">
        <v>234</v>
      </c>
      <c r="E210" s="14" t="s">
        <v>10</v>
      </c>
      <c r="F210" s="32" t="s">
        <v>278</v>
      </c>
      <c r="G210" s="2"/>
      <c r="H210" s="2" t="s">
        <v>537</v>
      </c>
      <c r="I210" s="10">
        <v>14</v>
      </c>
      <c r="J210" s="22">
        <v>6.25</v>
      </c>
      <c r="K210" s="2" t="s">
        <v>805</v>
      </c>
      <c r="L210" s="14" t="s">
        <v>415</v>
      </c>
      <c r="M210" s="2" t="s">
        <v>568</v>
      </c>
      <c r="N210" s="14" t="s">
        <v>509</v>
      </c>
      <c r="O210" s="14" t="s">
        <v>906</v>
      </c>
      <c r="P210" s="2" t="s">
        <v>1660</v>
      </c>
      <c r="Q210" s="10">
        <v>14</v>
      </c>
      <c r="W210" s="44">
        <f>Q210*X210</f>
        <v>1050</v>
      </c>
      <c r="X210" s="44">
        <f>12*Z210</f>
        <v>75</v>
      </c>
      <c r="Z210" s="22">
        <f>6+5/20</f>
        <v>6.25</v>
      </c>
      <c r="AE210">
        <v>87</v>
      </c>
      <c r="AF210">
        <v>10</v>
      </c>
      <c r="AG210">
        <v>0</v>
      </c>
      <c r="AH210" s="22">
        <f>AE210+AF210/20+AG210/240</f>
        <v>87.5</v>
      </c>
      <c r="AI210">
        <v>6</v>
      </c>
      <c r="AJ210">
        <v>5</v>
      </c>
      <c r="AK210">
        <v>0</v>
      </c>
      <c r="AL210" s="22">
        <f>Z210*1</f>
        <v>6.25</v>
      </c>
      <c r="BY210" s="44">
        <f>W210+(BQ210*12*Q210)+BV210</f>
        <v>1050</v>
      </c>
      <c r="BZ210" s="44">
        <f>BY210/Q210</f>
        <v>75</v>
      </c>
      <c r="CL210">
        <f>A210*1</f>
        <v>1466</v>
      </c>
      <c r="CM210" s="2" t="s">
        <v>568</v>
      </c>
      <c r="CN210" t="s">
        <v>1188</v>
      </c>
    </row>
    <row r="211" spans="1:91" ht="12.75">
      <c r="A211" s="18"/>
      <c r="E211" s="14"/>
      <c r="F211" s="32"/>
      <c r="G211" s="2"/>
      <c r="J211" s="22"/>
      <c r="M211" s="2"/>
      <c r="W211" s="44"/>
      <c r="X211" s="44"/>
      <c r="AH211" s="22"/>
      <c r="AL211" s="22"/>
      <c r="BY211" s="44"/>
      <c r="BZ211" s="44"/>
      <c r="CM211" s="2"/>
    </row>
    <row r="212" spans="1:91" ht="12.75">
      <c r="A212" s="18">
        <v>1467</v>
      </c>
      <c r="B212" s="14" t="s">
        <v>1117</v>
      </c>
      <c r="C212" s="14" t="s">
        <v>644</v>
      </c>
      <c r="D212" s="14" t="s">
        <v>234</v>
      </c>
      <c r="E212" s="14" t="s">
        <v>34</v>
      </c>
      <c r="F212" s="32" t="s">
        <v>279</v>
      </c>
      <c r="G212" s="2"/>
      <c r="H212" s="2" t="s">
        <v>537</v>
      </c>
      <c r="I212" s="10">
        <v>14</v>
      </c>
      <c r="J212" s="22">
        <v>8.4</v>
      </c>
      <c r="K212" s="2" t="s">
        <v>803</v>
      </c>
      <c r="L212" s="14" t="s">
        <v>415</v>
      </c>
      <c r="M212" s="2" t="s">
        <v>559</v>
      </c>
      <c r="N212" s="14" t="s">
        <v>509</v>
      </c>
      <c r="O212" s="14" t="s">
        <v>435</v>
      </c>
      <c r="P212" s="2" t="s">
        <v>618</v>
      </c>
      <c r="Q212" s="10">
        <v>14</v>
      </c>
      <c r="W212" s="44">
        <f>Q212*X212</f>
        <v>1411.2000000000003</v>
      </c>
      <c r="X212" s="44">
        <f>12*Z212</f>
        <v>100.80000000000001</v>
      </c>
      <c r="Z212" s="22">
        <f>8+8/20</f>
        <v>8.4</v>
      </c>
      <c r="AH212" s="22">
        <f>Z212*Q212</f>
        <v>117.60000000000001</v>
      </c>
      <c r="AI212">
        <v>8</v>
      </c>
      <c r="AJ212">
        <v>8</v>
      </c>
      <c r="AK212">
        <v>0</v>
      </c>
      <c r="AL212" s="22">
        <f>Z212*1</f>
        <v>8.4</v>
      </c>
      <c r="BI212" s="22"/>
      <c r="BY212" s="44">
        <f>W212+(BQ212*12*Q212)+BV212</f>
        <v>1411.2000000000003</v>
      </c>
      <c r="BZ212" s="44">
        <f>BY212/Q212</f>
        <v>100.80000000000003</v>
      </c>
      <c r="CL212">
        <f>A212*1</f>
        <v>1467</v>
      </c>
      <c r="CM212" s="2" t="s">
        <v>559</v>
      </c>
    </row>
    <row r="213" spans="1:91" ht="12.75">
      <c r="A213" s="18">
        <v>1467</v>
      </c>
      <c r="B213" s="14" t="s">
        <v>1117</v>
      </c>
      <c r="C213" s="14" t="s">
        <v>644</v>
      </c>
      <c r="D213" s="14" t="s">
        <v>234</v>
      </c>
      <c r="E213" s="14" t="s">
        <v>34</v>
      </c>
      <c r="F213" s="32" t="s">
        <v>280</v>
      </c>
      <c r="G213" s="2"/>
      <c r="H213" s="2" t="s">
        <v>5</v>
      </c>
      <c r="I213" s="10">
        <v>1</v>
      </c>
      <c r="J213" s="22">
        <v>2.8</v>
      </c>
      <c r="K213" s="2" t="s">
        <v>730</v>
      </c>
      <c r="L213" s="14" t="s">
        <v>415</v>
      </c>
      <c r="M213" s="2" t="s">
        <v>697</v>
      </c>
      <c r="N213" s="14" t="s">
        <v>1595</v>
      </c>
      <c r="O213" s="14" t="s">
        <v>904</v>
      </c>
      <c r="P213" s="2" t="s">
        <v>618</v>
      </c>
      <c r="Q213" s="10">
        <v>1</v>
      </c>
      <c r="W213" s="44">
        <f>Q213*X213</f>
        <v>33.599999999999994</v>
      </c>
      <c r="X213" s="44">
        <f>12*Z213</f>
        <v>33.599999999999994</v>
      </c>
      <c r="Z213" s="22">
        <f>2+16/20</f>
        <v>2.8</v>
      </c>
      <c r="AE213">
        <v>2</v>
      </c>
      <c r="AF213">
        <v>16</v>
      </c>
      <c r="AG213">
        <v>0</v>
      </c>
      <c r="AH213" s="22">
        <f>AE213+AF213/20+AG213/240</f>
        <v>2.8</v>
      </c>
      <c r="AI213">
        <v>2</v>
      </c>
      <c r="AJ213">
        <v>16</v>
      </c>
      <c r="AK213">
        <v>0</v>
      </c>
      <c r="AL213" s="22">
        <f>Z213*1</f>
        <v>2.8</v>
      </c>
      <c r="BI213" s="22"/>
      <c r="BY213" s="44">
        <f>W213+(BQ213*12*Q213)+BV213</f>
        <v>33.599999999999994</v>
      </c>
      <c r="BZ213" s="44">
        <f>BY213/Q213</f>
        <v>33.599999999999994</v>
      </c>
      <c r="CL213">
        <f>A213*1</f>
        <v>1467</v>
      </c>
      <c r="CM213" s="2" t="s">
        <v>697</v>
      </c>
    </row>
    <row r="214" spans="1:91" ht="12.75">
      <c r="A214" s="18">
        <v>1467</v>
      </c>
      <c r="B214" s="14" t="s">
        <v>1117</v>
      </c>
      <c r="C214" s="14" t="s">
        <v>644</v>
      </c>
      <c r="D214" s="14" t="s">
        <v>234</v>
      </c>
      <c r="E214" s="14" t="s">
        <v>34</v>
      </c>
      <c r="F214" s="32" t="s">
        <v>281</v>
      </c>
      <c r="G214" s="2"/>
      <c r="H214" s="2" t="s">
        <v>1202</v>
      </c>
      <c r="I214" s="10">
        <v>11</v>
      </c>
      <c r="J214" s="22">
        <v>2.05</v>
      </c>
      <c r="K214" s="2" t="s">
        <v>678</v>
      </c>
      <c r="L214" s="14" t="s">
        <v>415</v>
      </c>
      <c r="M214" s="2" t="s">
        <v>1206</v>
      </c>
      <c r="N214" s="14" t="s">
        <v>1201</v>
      </c>
      <c r="O214" s="14" t="s">
        <v>434</v>
      </c>
      <c r="P214" s="2" t="s">
        <v>923</v>
      </c>
      <c r="Q214" s="10">
        <v>11</v>
      </c>
      <c r="W214" s="44">
        <f>Q214*X214</f>
        <v>270.59999999999997</v>
      </c>
      <c r="X214" s="44">
        <f>12*Z214</f>
        <v>24.599999999999998</v>
      </c>
      <c r="Z214" s="22">
        <f>2+1/20</f>
        <v>2.05</v>
      </c>
      <c r="AE214">
        <v>22</v>
      </c>
      <c r="AF214">
        <v>11</v>
      </c>
      <c r="AG214">
        <v>0</v>
      </c>
      <c r="AH214" s="22">
        <f>AE214+AF214/20+AG214/240</f>
        <v>22.55</v>
      </c>
      <c r="AI214">
        <v>2</v>
      </c>
      <c r="AJ214">
        <v>1</v>
      </c>
      <c r="AK214">
        <v>0</v>
      </c>
      <c r="AL214" s="22">
        <f>Z214*1</f>
        <v>2.05</v>
      </c>
      <c r="BI214" s="22">
        <v>2.05</v>
      </c>
      <c r="BY214" s="44">
        <f>W214+(BQ214*12*Q214)+BV214</f>
        <v>270.59999999999997</v>
      </c>
      <c r="BZ214" s="44">
        <f>BY214/Q214</f>
        <v>24.599999999999998</v>
      </c>
      <c r="CL214">
        <f>A214*1</f>
        <v>1467</v>
      </c>
      <c r="CM214" s="2" t="s">
        <v>1206</v>
      </c>
    </row>
    <row r="215" spans="1:92" ht="12.75">
      <c r="A215" s="18">
        <v>1467</v>
      </c>
      <c r="B215" s="14" t="s">
        <v>1117</v>
      </c>
      <c r="C215" s="14" t="s">
        <v>644</v>
      </c>
      <c r="D215" s="14" t="s">
        <v>234</v>
      </c>
      <c r="E215" s="14" t="s">
        <v>34</v>
      </c>
      <c r="F215" s="32" t="s">
        <v>282</v>
      </c>
      <c r="G215" s="2"/>
      <c r="H215" s="2" t="s">
        <v>12</v>
      </c>
      <c r="I215" s="10">
        <v>4</v>
      </c>
      <c r="J215" s="22">
        <v>3.125</v>
      </c>
      <c r="K215" s="2" t="s">
        <v>732</v>
      </c>
      <c r="L215" s="14" t="s">
        <v>415</v>
      </c>
      <c r="M215" s="2" t="s">
        <v>16</v>
      </c>
      <c r="N215" s="14" t="s">
        <v>389</v>
      </c>
      <c r="O215" s="14" t="s">
        <v>904</v>
      </c>
      <c r="P215" s="2" t="s">
        <v>1440</v>
      </c>
      <c r="Q215" s="10">
        <v>4</v>
      </c>
      <c r="W215" s="44">
        <f>Q215*X215</f>
        <v>150</v>
      </c>
      <c r="X215" s="44">
        <f>12*Z215</f>
        <v>37.5</v>
      </c>
      <c r="Z215" s="22">
        <f>3+2/20+6/240</f>
        <v>3.125</v>
      </c>
      <c r="AE215">
        <v>12</v>
      </c>
      <c r="AF215">
        <v>10</v>
      </c>
      <c r="AG215">
        <v>0</v>
      </c>
      <c r="AH215" s="22">
        <f>AE215+AF215/20+AG215/240</f>
        <v>12.5</v>
      </c>
      <c r="AI215">
        <v>3</v>
      </c>
      <c r="AJ215">
        <v>2</v>
      </c>
      <c r="AK215">
        <v>6</v>
      </c>
      <c r="AL215" s="22">
        <f>Z215*1</f>
        <v>3.125</v>
      </c>
      <c r="BF215" s="22">
        <v>3.125</v>
      </c>
      <c r="BI215" s="22">
        <v>3.125</v>
      </c>
      <c r="BY215" s="44">
        <f>W215+(BQ215*12*Q215)+BV215</f>
        <v>150</v>
      </c>
      <c r="BZ215" s="44">
        <f>BY215/Q215</f>
        <v>37.5</v>
      </c>
      <c r="CL215">
        <f>A215*1</f>
        <v>1467</v>
      </c>
      <c r="CM215" s="2" t="s">
        <v>16</v>
      </c>
      <c r="CN215" t="s">
        <v>58</v>
      </c>
    </row>
    <row r="216" spans="1:91" ht="12.75">
      <c r="A216" s="18">
        <v>1467</v>
      </c>
      <c r="B216" s="14" t="s">
        <v>1117</v>
      </c>
      <c r="C216" s="14" t="s">
        <v>644</v>
      </c>
      <c r="D216" s="14" t="s">
        <v>234</v>
      </c>
      <c r="E216" s="14" t="s">
        <v>34</v>
      </c>
      <c r="F216" s="32" t="s">
        <v>283</v>
      </c>
      <c r="G216" s="2"/>
      <c r="H216" s="2" t="s">
        <v>758</v>
      </c>
      <c r="I216" s="10">
        <v>6</v>
      </c>
      <c r="J216" s="22">
        <v>0.5416666666666666</v>
      </c>
      <c r="K216" s="2" t="s">
        <v>1688</v>
      </c>
      <c r="L216" s="14" t="s">
        <v>415</v>
      </c>
      <c r="M216" s="2" t="s">
        <v>764</v>
      </c>
      <c r="N216" s="14" t="s">
        <v>772</v>
      </c>
      <c r="O216" s="14" t="s">
        <v>1636</v>
      </c>
      <c r="P216" s="2" t="s">
        <v>742</v>
      </c>
      <c r="Q216" s="10">
        <v>6</v>
      </c>
      <c r="W216" s="44">
        <f>Q216*X216</f>
        <v>39</v>
      </c>
      <c r="X216" s="44">
        <f>12*Z216</f>
        <v>6.5</v>
      </c>
      <c r="Z216" s="22">
        <f>10/20+10/240</f>
        <v>0.5416666666666666</v>
      </c>
      <c r="AE216">
        <v>3</v>
      </c>
      <c r="AF216">
        <v>5</v>
      </c>
      <c r="AG216">
        <v>0</v>
      </c>
      <c r="AH216" s="22">
        <f>AE216+AF216/20+AG216/240</f>
        <v>3.25</v>
      </c>
      <c r="AJ216">
        <v>10</v>
      </c>
      <c r="AK216">
        <v>10</v>
      </c>
      <c r="AL216" s="22">
        <f>Z216*1</f>
        <v>0.5416666666666666</v>
      </c>
      <c r="BI216" s="22">
        <v>0.5416666666666666</v>
      </c>
      <c r="BY216" s="44">
        <f>W216+(BQ216*12*Q216)+BV216</f>
        <v>39</v>
      </c>
      <c r="BZ216" s="44">
        <f>BY216/Q216</f>
        <v>6.5</v>
      </c>
      <c r="CL216">
        <f>A216*1</f>
        <v>1467</v>
      </c>
      <c r="CM216" s="2" t="s">
        <v>764</v>
      </c>
    </row>
    <row r="217" spans="1:91" ht="12.75">
      <c r="A217" s="18"/>
      <c r="E217" s="14"/>
      <c r="F217" s="32"/>
      <c r="G217" s="2"/>
      <c r="M217" s="2"/>
      <c r="BY217" s="44"/>
      <c r="BZ217" s="44"/>
      <c r="CM217" s="2"/>
    </row>
    <row r="218" spans="1:91" ht="12.75">
      <c r="A218" s="18">
        <v>1467</v>
      </c>
      <c r="B218" s="14" t="s">
        <v>1239</v>
      </c>
      <c r="C218" s="14" t="s">
        <v>644</v>
      </c>
      <c r="D218" s="14" t="s">
        <v>364</v>
      </c>
      <c r="E218" s="14" t="s">
        <v>34</v>
      </c>
      <c r="F218" s="32" t="s">
        <v>284</v>
      </c>
      <c r="G218" s="2"/>
      <c r="H218" s="2" t="s">
        <v>537</v>
      </c>
      <c r="I218" s="10">
        <v>6</v>
      </c>
      <c r="J218" s="22">
        <v>6.3</v>
      </c>
      <c r="K218" s="2" t="s">
        <v>608</v>
      </c>
      <c r="L218" s="14" t="s">
        <v>415</v>
      </c>
      <c r="M218" s="2" t="s">
        <v>589</v>
      </c>
      <c r="N218" s="14" t="s">
        <v>507</v>
      </c>
      <c r="O218" s="14" t="s">
        <v>1109</v>
      </c>
      <c r="P218" s="2" t="s">
        <v>1660</v>
      </c>
      <c r="Q218" s="10">
        <v>6</v>
      </c>
      <c r="W218" s="44">
        <f>Q218*X218</f>
        <v>453.59999999999997</v>
      </c>
      <c r="X218" s="44">
        <f>12*Z218</f>
        <v>75.6</v>
      </c>
      <c r="Z218" s="22">
        <f>6+6/20</f>
        <v>6.3</v>
      </c>
      <c r="AE218">
        <v>37</v>
      </c>
      <c r="AF218">
        <v>16</v>
      </c>
      <c r="AG218">
        <v>0</v>
      </c>
      <c r="AH218" s="22">
        <f>AE218+AF218/20+AG218/240</f>
        <v>37.8</v>
      </c>
      <c r="AI218">
        <v>6</v>
      </c>
      <c r="AJ218">
        <v>6</v>
      </c>
      <c r="AK218">
        <v>0</v>
      </c>
      <c r="AL218" s="22">
        <f>Z218*1</f>
        <v>6.3</v>
      </c>
      <c r="BY218" s="44">
        <f>W218+(BQ218*12*Q218)+BV218</f>
        <v>453.59999999999997</v>
      </c>
      <c r="BZ218" s="44">
        <f>BY218/Q218</f>
        <v>75.6</v>
      </c>
      <c r="CL218">
        <f>A218*1</f>
        <v>1467</v>
      </c>
      <c r="CM218" s="2" t="s">
        <v>589</v>
      </c>
    </row>
    <row r="219" spans="1:91" ht="12.75">
      <c r="A219" s="18">
        <v>1467</v>
      </c>
      <c r="B219" s="14" t="s">
        <v>1239</v>
      </c>
      <c r="C219" s="14" t="s">
        <v>644</v>
      </c>
      <c r="D219" s="14" t="s">
        <v>364</v>
      </c>
      <c r="E219" s="14" t="s">
        <v>34</v>
      </c>
      <c r="F219" s="32" t="s">
        <v>285</v>
      </c>
      <c r="G219" s="2"/>
      <c r="H219" s="2" t="s">
        <v>5</v>
      </c>
      <c r="I219" s="10">
        <v>3</v>
      </c>
      <c r="J219" s="22">
        <v>6</v>
      </c>
      <c r="K219" s="2" t="s">
        <v>611</v>
      </c>
      <c r="L219" s="14" t="s">
        <v>415</v>
      </c>
      <c r="M219" s="2" t="s">
        <v>520</v>
      </c>
      <c r="N219" s="14" t="s">
        <v>896</v>
      </c>
      <c r="O219" s="14" t="s">
        <v>442</v>
      </c>
      <c r="P219" s="2" t="s">
        <v>1660</v>
      </c>
      <c r="Q219" s="10">
        <v>3</v>
      </c>
      <c r="W219" s="44">
        <f>Q219*X219</f>
        <v>216</v>
      </c>
      <c r="X219" s="44">
        <f>12*Z219</f>
        <v>72</v>
      </c>
      <c r="Z219" s="22">
        <v>6</v>
      </c>
      <c r="AH219" s="22">
        <f>Z219*Q219</f>
        <v>18</v>
      </c>
      <c r="AI219">
        <v>6</v>
      </c>
      <c r="AJ219">
        <v>0</v>
      </c>
      <c r="AK219">
        <v>0</v>
      </c>
      <c r="AL219" s="22">
        <f>Z219*1</f>
        <v>6</v>
      </c>
      <c r="BY219" s="44">
        <f>W219+(BQ219*12*Q219)+BV219</f>
        <v>216</v>
      </c>
      <c r="BZ219" s="44">
        <f>BY219/Q219</f>
        <v>72</v>
      </c>
      <c r="CL219">
        <f>A219*1</f>
        <v>1467</v>
      </c>
      <c r="CM219" s="2" t="s">
        <v>520</v>
      </c>
    </row>
    <row r="220" spans="1:91" ht="12.75">
      <c r="A220" s="18">
        <v>1467</v>
      </c>
      <c r="B220" s="14" t="s">
        <v>1239</v>
      </c>
      <c r="C220" s="14" t="s">
        <v>644</v>
      </c>
      <c r="D220" s="14" t="s">
        <v>364</v>
      </c>
      <c r="E220" s="14" t="s">
        <v>34</v>
      </c>
      <c r="F220" s="32" t="s">
        <v>286</v>
      </c>
      <c r="G220" s="2"/>
      <c r="H220" s="2" t="s">
        <v>537</v>
      </c>
      <c r="I220" s="10">
        <v>5</v>
      </c>
      <c r="J220" s="22">
        <v>5.8</v>
      </c>
      <c r="K220" s="2" t="s">
        <v>978</v>
      </c>
      <c r="L220" s="14" t="s">
        <v>415</v>
      </c>
      <c r="M220" s="2" t="s">
        <v>568</v>
      </c>
      <c r="N220" s="14" t="s">
        <v>509</v>
      </c>
      <c r="O220" s="14" t="s">
        <v>906</v>
      </c>
      <c r="P220" s="2" t="s">
        <v>1660</v>
      </c>
      <c r="Q220" s="10">
        <v>5</v>
      </c>
      <c r="W220" s="44">
        <f>Q220*X220</f>
        <v>348</v>
      </c>
      <c r="X220" s="44">
        <f>12*Z220</f>
        <v>69.6</v>
      </c>
      <c r="Z220" s="22">
        <f>5+16/20</f>
        <v>5.8</v>
      </c>
      <c r="AE220">
        <v>29</v>
      </c>
      <c r="AF220">
        <v>0</v>
      </c>
      <c r="AG220">
        <v>0</v>
      </c>
      <c r="AH220" s="22">
        <f>AE220+AF220/20+AG220/240</f>
        <v>29</v>
      </c>
      <c r="AI220">
        <v>5</v>
      </c>
      <c r="AJ220">
        <v>16</v>
      </c>
      <c r="AK220">
        <v>0</v>
      </c>
      <c r="AL220" s="22">
        <f>Z220*1</f>
        <v>5.8</v>
      </c>
      <c r="BY220" s="44">
        <f>W220+(BQ220*12*Q220)+BV220</f>
        <v>348</v>
      </c>
      <c r="BZ220" s="44">
        <f>BY220/Q220</f>
        <v>69.6</v>
      </c>
      <c r="CL220">
        <f>A220*1</f>
        <v>1467</v>
      </c>
      <c r="CM220" s="2" t="s">
        <v>568</v>
      </c>
    </row>
    <row r="221" spans="1:91" ht="12.75">
      <c r="A221" s="18">
        <v>1467</v>
      </c>
      <c r="B221" s="14" t="s">
        <v>1239</v>
      </c>
      <c r="C221" s="14" t="s">
        <v>644</v>
      </c>
      <c r="D221" s="14" t="s">
        <v>364</v>
      </c>
      <c r="E221" s="14" t="s">
        <v>34</v>
      </c>
      <c r="F221" s="32" t="s">
        <v>287</v>
      </c>
      <c r="G221" s="2"/>
      <c r="H221" s="2" t="s">
        <v>537</v>
      </c>
      <c r="I221" s="10">
        <v>1</v>
      </c>
      <c r="J221" s="22">
        <v>2.1</v>
      </c>
      <c r="K221" s="2" t="s">
        <v>804</v>
      </c>
      <c r="L221" s="14" t="s">
        <v>415</v>
      </c>
      <c r="M221" s="2" t="s">
        <v>570</v>
      </c>
      <c r="N221" s="14" t="s">
        <v>507</v>
      </c>
      <c r="O221" s="14" t="s">
        <v>1109</v>
      </c>
      <c r="P221" s="2" t="s">
        <v>1660</v>
      </c>
      <c r="Q221" s="10">
        <v>1</v>
      </c>
      <c r="W221" s="44">
        <f>Q221*X221</f>
        <v>25.200000000000003</v>
      </c>
      <c r="X221" s="44">
        <f>12*Z221</f>
        <v>25.200000000000003</v>
      </c>
      <c r="Z221" s="22">
        <f>2+2/20</f>
        <v>2.1</v>
      </c>
      <c r="AE221">
        <v>2</v>
      </c>
      <c r="AF221">
        <v>2</v>
      </c>
      <c r="AG221">
        <v>0</v>
      </c>
      <c r="AH221" s="22">
        <f>AE221+AF221/20+AG221/240</f>
        <v>2.1</v>
      </c>
      <c r="AI221">
        <v>2</v>
      </c>
      <c r="AJ221">
        <v>2</v>
      </c>
      <c r="AK221">
        <v>0</v>
      </c>
      <c r="AL221" s="22">
        <f>Z221*1</f>
        <v>2.1</v>
      </c>
      <c r="BY221" s="44">
        <f>W221+(BQ221*12*Q221)+BV221</f>
        <v>25.200000000000003</v>
      </c>
      <c r="BZ221" s="44">
        <f>BY221/Q221</f>
        <v>25.200000000000003</v>
      </c>
      <c r="CL221">
        <f>A221*1</f>
        <v>1467</v>
      </c>
      <c r="CM221" s="2" t="s">
        <v>570</v>
      </c>
    </row>
    <row r="222" spans="1:91" ht="12.75">
      <c r="A222" s="18"/>
      <c r="E222" s="14"/>
      <c r="F222" s="32"/>
      <c r="G222" s="2"/>
      <c r="J222" s="22"/>
      <c r="M222" s="2"/>
      <c r="W222" s="44"/>
      <c r="X222" s="44"/>
      <c r="AH222" s="22"/>
      <c r="AL222" s="22"/>
      <c r="CM222" s="2"/>
    </row>
    <row r="223" spans="1:92" ht="12.75">
      <c r="A223" s="18">
        <v>1468</v>
      </c>
      <c r="B223" s="14" t="s">
        <v>1117</v>
      </c>
      <c r="C223" s="14" t="s">
        <v>644</v>
      </c>
      <c r="D223" s="14" t="s">
        <v>364</v>
      </c>
      <c r="E223" s="14" t="s">
        <v>35</v>
      </c>
      <c r="F223" s="32" t="s">
        <v>288</v>
      </c>
      <c r="G223" s="2">
        <v>1</v>
      </c>
      <c r="H223" s="2" t="s">
        <v>541</v>
      </c>
      <c r="I223" s="10">
        <v>15</v>
      </c>
      <c r="J223" s="22">
        <v>7.1</v>
      </c>
      <c r="K223" s="2" t="s">
        <v>883</v>
      </c>
      <c r="L223" s="14" t="s">
        <v>415</v>
      </c>
      <c r="M223" s="2" t="s">
        <v>835</v>
      </c>
      <c r="N223" s="14" t="s">
        <v>510</v>
      </c>
      <c r="O223" s="14" t="s">
        <v>445</v>
      </c>
      <c r="P223" s="2" t="s">
        <v>618</v>
      </c>
      <c r="Q223" s="10">
        <v>15</v>
      </c>
      <c r="W223" s="44">
        <f>Q223*X223</f>
        <v>1277.9999999999998</v>
      </c>
      <c r="X223" s="44">
        <f>12*Z223</f>
        <v>85.19999999999999</v>
      </c>
      <c r="Z223" s="22">
        <f>7+2/20</f>
        <v>7.1</v>
      </c>
      <c r="AE223">
        <v>106</v>
      </c>
      <c r="AF223">
        <v>10</v>
      </c>
      <c r="AG223">
        <v>0</v>
      </c>
      <c r="AH223" s="22">
        <f>AE223+AF223/20+AG223/240</f>
        <v>106.5</v>
      </c>
      <c r="AI223">
        <v>7</v>
      </c>
      <c r="AJ223">
        <v>2</v>
      </c>
      <c r="AK223">
        <v>0</v>
      </c>
      <c r="AL223" s="22">
        <f>Z223*1</f>
        <v>7.1</v>
      </c>
      <c r="BY223" s="44">
        <f>W223+(BQ223*12*Q223)+BV223</f>
        <v>1277.9999999999998</v>
      </c>
      <c r="BZ223" s="44">
        <f>BY223/Q223</f>
        <v>85.19999999999999</v>
      </c>
      <c r="CL223">
        <f>A223*1</f>
        <v>1468</v>
      </c>
      <c r="CM223" s="2" t="s">
        <v>835</v>
      </c>
      <c r="CN223" t="s">
        <v>1189</v>
      </c>
    </row>
    <row r="224" spans="1:92" ht="12.75">
      <c r="A224" s="18">
        <v>1468</v>
      </c>
      <c r="B224" s="14" t="s">
        <v>1117</v>
      </c>
      <c r="C224" s="14" t="s">
        <v>644</v>
      </c>
      <c r="D224" s="14" t="s">
        <v>364</v>
      </c>
      <c r="E224" s="14" t="s">
        <v>35</v>
      </c>
      <c r="F224" s="32" t="s">
        <v>289</v>
      </c>
      <c r="G224" s="2">
        <v>1</v>
      </c>
      <c r="H224" s="2" t="s">
        <v>1407</v>
      </c>
      <c r="I224" s="10">
        <v>5</v>
      </c>
      <c r="J224" s="22">
        <v>1.96875</v>
      </c>
      <c r="K224" s="2" t="s">
        <v>1545</v>
      </c>
      <c r="L224" s="14" t="s">
        <v>415</v>
      </c>
      <c r="M224" s="2" t="s">
        <v>1410</v>
      </c>
      <c r="N224" s="14" t="s">
        <v>1389</v>
      </c>
      <c r="O224" s="14" t="s">
        <v>1535</v>
      </c>
      <c r="P224" s="2" t="s">
        <v>1436</v>
      </c>
      <c r="Q224" s="10">
        <v>5</v>
      </c>
      <c r="S224" s="10">
        <v>157.5</v>
      </c>
      <c r="W224" s="44">
        <f>S224*Y224/20</f>
        <v>118.125</v>
      </c>
      <c r="X224" s="44">
        <f>W224/Q224</f>
        <v>23.625</v>
      </c>
      <c r="Y224" s="22">
        <f>AM224*12</f>
        <v>15</v>
      </c>
      <c r="Z224" s="22">
        <f>X224/12</f>
        <v>1.96875</v>
      </c>
      <c r="AE224">
        <v>9</v>
      </c>
      <c r="AF224">
        <v>16</v>
      </c>
      <c r="AG224">
        <v>10</v>
      </c>
      <c r="AH224" s="22">
        <f>AE224+AF224/20+AG224/240</f>
        <v>9.841666666666667</v>
      </c>
      <c r="AI224">
        <v>1</v>
      </c>
      <c r="AJ224">
        <v>19</v>
      </c>
      <c r="AK224">
        <v>4</v>
      </c>
      <c r="AL224" s="22">
        <f>Z224*1</f>
        <v>1.96875</v>
      </c>
      <c r="AM224" s="22">
        <f>1+3/12</f>
        <v>1.25</v>
      </c>
      <c r="BF224" s="22">
        <v>1.96875</v>
      </c>
      <c r="BI224" s="22">
        <v>1.96875</v>
      </c>
      <c r="BY224" s="44">
        <f>W224+(BQ224*12*Q224)+BV224</f>
        <v>118.125</v>
      </c>
      <c r="BZ224" s="44">
        <f>BY224/Q224</f>
        <v>23.625</v>
      </c>
      <c r="CL224">
        <f>A224*1</f>
        <v>1468</v>
      </c>
      <c r="CM224" s="2" t="s">
        <v>1410</v>
      </c>
      <c r="CN224" t="s">
        <v>64</v>
      </c>
    </row>
    <row r="225" spans="1:92" ht="12.75">
      <c r="A225" s="18">
        <v>1468</v>
      </c>
      <c r="B225" s="14" t="s">
        <v>1117</v>
      </c>
      <c r="C225" s="14" t="s">
        <v>644</v>
      </c>
      <c r="D225" s="14" t="s">
        <v>364</v>
      </c>
      <c r="E225" s="14" t="s">
        <v>35</v>
      </c>
      <c r="F225" s="32" t="s">
        <v>290</v>
      </c>
      <c r="G225" s="2">
        <v>1</v>
      </c>
      <c r="H225" s="2" t="s">
        <v>1407</v>
      </c>
      <c r="I225" s="10">
        <v>1</v>
      </c>
      <c r="J225" s="22">
        <v>2.25</v>
      </c>
      <c r="K225" s="2" t="s">
        <v>1547</v>
      </c>
      <c r="L225" s="14" t="s">
        <v>415</v>
      </c>
      <c r="M225" s="2" t="s">
        <v>1410</v>
      </c>
      <c r="N225" s="14" t="s">
        <v>1389</v>
      </c>
      <c r="O225" s="14" t="s">
        <v>1535</v>
      </c>
      <c r="P225" s="2" t="s">
        <v>1432</v>
      </c>
      <c r="Q225" s="10">
        <v>1</v>
      </c>
      <c r="S225" s="10">
        <v>36</v>
      </c>
      <c r="W225" s="44">
        <f>S225*Y225/20</f>
        <v>27</v>
      </c>
      <c r="X225" s="44">
        <f>W225/Q225</f>
        <v>27</v>
      </c>
      <c r="Y225" s="22">
        <f>AM225*12</f>
        <v>15</v>
      </c>
      <c r="Z225" s="22">
        <f>X225/12</f>
        <v>2.25</v>
      </c>
      <c r="AE225">
        <v>2</v>
      </c>
      <c r="AF225">
        <v>5</v>
      </c>
      <c r="AG225">
        <v>0</v>
      </c>
      <c r="AH225" s="22">
        <f>AE225+AF225/20+AG225/240</f>
        <v>2.25</v>
      </c>
      <c r="AI225">
        <v>2</v>
      </c>
      <c r="AJ225">
        <v>5</v>
      </c>
      <c r="AK225">
        <v>0</v>
      </c>
      <c r="AL225" s="22">
        <f>Z225*1</f>
        <v>2.25</v>
      </c>
      <c r="AM225" s="22">
        <f>1+3/12</f>
        <v>1.25</v>
      </c>
      <c r="BF225" s="22">
        <v>2.25</v>
      </c>
      <c r="BI225" s="22">
        <v>2.25</v>
      </c>
      <c r="BY225" s="44">
        <f>W225+(BQ225*12*Q225)+BV225</f>
        <v>27</v>
      </c>
      <c r="BZ225" s="44">
        <f>BY225/Q225</f>
        <v>27</v>
      </c>
      <c r="CL225">
        <f>A225*1</f>
        <v>1468</v>
      </c>
      <c r="CM225" s="2" t="s">
        <v>1410</v>
      </c>
      <c r="CN225" t="s">
        <v>51</v>
      </c>
    </row>
    <row r="226" spans="1:91" ht="12.75">
      <c r="A226" s="18"/>
      <c r="E226" s="14"/>
      <c r="F226" s="32"/>
      <c r="G226" s="2"/>
      <c r="M226" s="2"/>
      <c r="W226" s="44"/>
      <c r="X226" s="44"/>
      <c r="AH226" s="22"/>
      <c r="BY226" s="44"/>
      <c r="BZ226" s="44"/>
      <c r="CM226" s="2"/>
    </row>
    <row r="227" spans="1:91" ht="12.75">
      <c r="A227" s="18">
        <v>1468</v>
      </c>
      <c r="B227" s="14" t="s">
        <v>1117</v>
      </c>
      <c r="C227" s="14" t="s">
        <v>644</v>
      </c>
      <c r="D227" s="14" t="s">
        <v>364</v>
      </c>
      <c r="E227" s="14" t="s">
        <v>35</v>
      </c>
      <c r="F227" s="32" t="s">
        <v>291</v>
      </c>
      <c r="G227" s="2">
        <v>2</v>
      </c>
      <c r="H227" s="2" t="s">
        <v>1407</v>
      </c>
      <c r="I227" s="10">
        <v>1</v>
      </c>
      <c r="J227" s="22">
        <v>2.1958333333333333</v>
      </c>
      <c r="K227" s="2" t="s">
        <v>1548</v>
      </c>
      <c r="L227" s="14" t="s">
        <v>415</v>
      </c>
      <c r="M227" s="2" t="s">
        <v>1410</v>
      </c>
      <c r="N227" s="14" t="s">
        <v>1389</v>
      </c>
      <c r="O227" s="14" t="s">
        <v>1535</v>
      </c>
      <c r="P227" s="2" t="s">
        <v>1434</v>
      </c>
      <c r="Q227" s="10">
        <v>1</v>
      </c>
      <c r="S227" s="10">
        <v>31</v>
      </c>
      <c r="W227" s="44">
        <f>S227*Y227/20</f>
        <v>26.35</v>
      </c>
      <c r="X227" s="44">
        <f aca="true" t="shared" si="56" ref="X227:X233">W227/Q227</f>
        <v>26.35</v>
      </c>
      <c r="Y227" s="22">
        <f aca="true" t="shared" si="57" ref="Y227:Y233">12*AM227</f>
        <v>17</v>
      </c>
      <c r="Z227" s="22">
        <f aca="true" t="shared" si="58" ref="Z227:Z233">X227/12</f>
        <v>2.1958333333333333</v>
      </c>
      <c r="AE227">
        <v>2</v>
      </c>
      <c r="AF227">
        <v>3</v>
      </c>
      <c r="AG227">
        <v>11</v>
      </c>
      <c r="AH227" s="22">
        <f>AE227+AF227/20+AG227/240</f>
        <v>2.1958333333333333</v>
      </c>
      <c r="AI227">
        <v>2</v>
      </c>
      <c r="AJ227">
        <v>3</v>
      </c>
      <c r="AK227">
        <v>11</v>
      </c>
      <c r="AL227" s="22">
        <f aca="true" t="shared" si="59" ref="AL227:AL234">Z227*1</f>
        <v>2.1958333333333333</v>
      </c>
      <c r="AM227" s="22">
        <f>1+5/12</f>
        <v>1.4166666666666667</v>
      </c>
      <c r="BF227" s="22">
        <v>2.1958333333333333</v>
      </c>
      <c r="BI227" s="22">
        <v>2.1958333333333333</v>
      </c>
      <c r="BY227" s="44">
        <f aca="true" t="shared" si="60" ref="BY227:BY234">W227+(BQ227*12*Q227)+BV227</f>
        <v>26.35</v>
      </c>
      <c r="BZ227" s="44">
        <f aca="true" t="shared" si="61" ref="BZ227:BZ234">BY227/Q227</f>
        <v>26.35</v>
      </c>
      <c r="CL227">
        <f aca="true" t="shared" si="62" ref="CL227:CL234">A227*1</f>
        <v>1468</v>
      </c>
      <c r="CM227" s="2" t="s">
        <v>1410</v>
      </c>
    </row>
    <row r="228" spans="1:92" ht="12.75">
      <c r="A228" s="18">
        <v>1468</v>
      </c>
      <c r="B228" s="14" t="s">
        <v>1117</v>
      </c>
      <c r="C228" s="14" t="s">
        <v>644</v>
      </c>
      <c r="D228" s="14" t="s">
        <v>364</v>
      </c>
      <c r="E228" s="14" t="s">
        <v>35</v>
      </c>
      <c r="F228" s="32" t="s">
        <v>292</v>
      </c>
      <c r="G228" s="2">
        <v>2</v>
      </c>
      <c r="H228" s="2" t="s">
        <v>5</v>
      </c>
      <c r="I228" s="10">
        <v>3</v>
      </c>
      <c r="J228" s="22">
        <v>1.9500000000000002</v>
      </c>
      <c r="K228" s="2" t="s">
        <v>983</v>
      </c>
      <c r="L228" s="14" t="s">
        <v>415</v>
      </c>
      <c r="M228" s="2" t="s">
        <v>997</v>
      </c>
      <c r="N228" s="14" t="s">
        <v>1595</v>
      </c>
      <c r="O228" s="14" t="s">
        <v>906</v>
      </c>
      <c r="P228" s="2" t="s">
        <v>5</v>
      </c>
      <c r="Q228" s="10">
        <v>3</v>
      </c>
      <c r="S228" s="10">
        <v>108</v>
      </c>
      <c r="W228" s="44">
        <f>S228*Y228/20</f>
        <v>70.2</v>
      </c>
      <c r="X228" s="44">
        <f t="shared" si="56"/>
        <v>23.400000000000002</v>
      </c>
      <c r="Y228" s="22">
        <f t="shared" si="57"/>
        <v>13</v>
      </c>
      <c r="Z228" s="22">
        <f t="shared" si="58"/>
        <v>1.9500000000000002</v>
      </c>
      <c r="AH228" s="22">
        <f>W228/12</f>
        <v>5.8500000000000005</v>
      </c>
      <c r="AL228" s="22">
        <f t="shared" si="59"/>
        <v>1.9500000000000002</v>
      </c>
      <c r="AM228" s="22">
        <f>1+1/12</f>
        <v>1.0833333333333333</v>
      </c>
      <c r="BY228" s="44">
        <f t="shared" si="60"/>
        <v>70.2</v>
      </c>
      <c r="BZ228" s="44">
        <f t="shared" si="61"/>
        <v>23.400000000000002</v>
      </c>
      <c r="CL228">
        <f t="shared" si="62"/>
        <v>1468</v>
      </c>
      <c r="CM228" s="2" t="s">
        <v>997</v>
      </c>
      <c r="CN228" t="s">
        <v>1174</v>
      </c>
    </row>
    <row r="229" spans="1:92" ht="12.75">
      <c r="A229" s="18">
        <v>1468</v>
      </c>
      <c r="B229" s="14" t="s">
        <v>1117</v>
      </c>
      <c r="C229" s="14" t="s">
        <v>644</v>
      </c>
      <c r="D229" s="14" t="s">
        <v>364</v>
      </c>
      <c r="E229" s="14" t="s">
        <v>35</v>
      </c>
      <c r="F229" s="32" t="s">
        <v>293</v>
      </c>
      <c r="G229" s="2">
        <v>2</v>
      </c>
      <c r="H229" s="2" t="s">
        <v>1407</v>
      </c>
      <c r="I229" s="10">
        <v>1</v>
      </c>
      <c r="J229" s="22">
        <v>2.03125</v>
      </c>
      <c r="K229" s="2" t="s">
        <v>1546</v>
      </c>
      <c r="L229" s="14" t="s">
        <v>415</v>
      </c>
      <c r="M229" s="2" t="s">
        <v>1410</v>
      </c>
      <c r="N229" s="14" t="s">
        <v>1389</v>
      </c>
      <c r="O229" s="14" t="s">
        <v>1535</v>
      </c>
      <c r="P229" s="2" t="s">
        <v>5</v>
      </c>
      <c r="Q229" s="10">
        <v>1</v>
      </c>
      <c r="S229" s="10">
        <v>32.5</v>
      </c>
      <c r="W229" s="44">
        <f>S229*Y229/20</f>
        <v>24.375</v>
      </c>
      <c r="X229" s="44">
        <f t="shared" si="56"/>
        <v>24.375</v>
      </c>
      <c r="Y229" s="22">
        <f t="shared" si="57"/>
        <v>15</v>
      </c>
      <c r="Z229" s="22">
        <f t="shared" si="58"/>
        <v>2.03125</v>
      </c>
      <c r="AH229" s="22">
        <f>W229/12</f>
        <v>2.03125</v>
      </c>
      <c r="AL229" s="22">
        <f t="shared" si="59"/>
        <v>2.03125</v>
      </c>
      <c r="AM229" s="22">
        <f>1+3/12</f>
        <v>1.25</v>
      </c>
      <c r="BY229" s="44">
        <f t="shared" si="60"/>
        <v>24.375</v>
      </c>
      <c r="BZ229" s="44">
        <f t="shared" si="61"/>
        <v>24.375</v>
      </c>
      <c r="CL229">
        <f t="shared" si="62"/>
        <v>1468</v>
      </c>
      <c r="CM229" s="2" t="s">
        <v>1410</v>
      </c>
      <c r="CN229" t="s">
        <v>81</v>
      </c>
    </row>
    <row r="230" spans="1:91" ht="12.75">
      <c r="A230" s="18">
        <v>1468</v>
      </c>
      <c r="B230" s="14" t="s">
        <v>1117</v>
      </c>
      <c r="C230" s="14" t="s">
        <v>644</v>
      </c>
      <c r="D230" s="14" t="s">
        <v>364</v>
      </c>
      <c r="E230" s="14" t="s">
        <v>35</v>
      </c>
      <c r="F230" s="32" t="s">
        <v>294</v>
      </c>
      <c r="G230" s="2">
        <v>2</v>
      </c>
      <c r="H230" s="2" t="s">
        <v>1407</v>
      </c>
      <c r="I230" s="10">
        <v>1</v>
      </c>
      <c r="J230" s="22">
        <v>2.283333333333333</v>
      </c>
      <c r="K230" s="2" t="s">
        <v>1546</v>
      </c>
      <c r="L230" s="14" t="s">
        <v>415</v>
      </c>
      <c r="M230" s="2" t="s">
        <v>1410</v>
      </c>
      <c r="N230" s="14" t="s">
        <v>1389</v>
      </c>
      <c r="O230" s="14" t="s">
        <v>1535</v>
      </c>
      <c r="P230" s="2" t="s">
        <v>5</v>
      </c>
      <c r="Q230" s="10">
        <v>1</v>
      </c>
      <c r="S230" s="10">
        <v>34.25</v>
      </c>
      <c r="W230" s="44">
        <f>S230*Y230/20</f>
        <v>27.4</v>
      </c>
      <c r="X230" s="44">
        <f t="shared" si="56"/>
        <v>27.4</v>
      </c>
      <c r="Y230" s="22">
        <f t="shared" si="57"/>
        <v>16</v>
      </c>
      <c r="Z230" s="22">
        <f t="shared" si="58"/>
        <v>2.283333333333333</v>
      </c>
      <c r="AH230" s="22">
        <f>W230/12</f>
        <v>2.283333333333333</v>
      </c>
      <c r="AL230" s="22">
        <f t="shared" si="59"/>
        <v>2.283333333333333</v>
      </c>
      <c r="AM230" s="22">
        <f>1+4/12</f>
        <v>1.3333333333333333</v>
      </c>
      <c r="BY230" s="44">
        <f t="shared" si="60"/>
        <v>27.4</v>
      </c>
      <c r="BZ230" s="44">
        <f t="shared" si="61"/>
        <v>27.4</v>
      </c>
      <c r="CL230">
        <f t="shared" si="62"/>
        <v>1468</v>
      </c>
      <c r="CM230" s="2" t="s">
        <v>1410</v>
      </c>
    </row>
    <row r="231" spans="1:92" ht="12.75">
      <c r="A231" s="18">
        <v>1468</v>
      </c>
      <c r="B231" s="14" t="s">
        <v>1117</v>
      </c>
      <c r="C231" s="14" t="s">
        <v>644</v>
      </c>
      <c r="D231" s="14" t="s">
        <v>364</v>
      </c>
      <c r="E231" s="14" t="s">
        <v>35</v>
      </c>
      <c r="F231" s="32" t="s">
        <v>295</v>
      </c>
      <c r="G231" s="2">
        <v>2</v>
      </c>
      <c r="H231" s="2" t="s">
        <v>1407</v>
      </c>
      <c r="I231" s="10">
        <v>2</v>
      </c>
      <c r="J231" s="22">
        <v>1.9979166666666668</v>
      </c>
      <c r="K231" s="2" t="s">
        <v>1539</v>
      </c>
      <c r="L231" s="14" t="s">
        <v>415</v>
      </c>
      <c r="M231" s="2" t="s">
        <v>1410</v>
      </c>
      <c r="N231" s="14" t="s">
        <v>1389</v>
      </c>
      <c r="O231" s="14" t="s">
        <v>1535</v>
      </c>
      <c r="P231" s="2" t="s">
        <v>367</v>
      </c>
      <c r="Q231" s="10">
        <v>2</v>
      </c>
      <c r="W231" s="44">
        <f>12*(3+19/20+11/240)</f>
        <v>47.95</v>
      </c>
      <c r="X231" s="44">
        <f t="shared" si="56"/>
        <v>23.975</v>
      </c>
      <c r="Y231" s="22">
        <f t="shared" si="57"/>
        <v>19</v>
      </c>
      <c r="Z231" s="22">
        <f t="shared" si="58"/>
        <v>1.9979166666666668</v>
      </c>
      <c r="AE231">
        <v>3</v>
      </c>
      <c r="AF231">
        <v>19</v>
      </c>
      <c r="AG231">
        <v>11</v>
      </c>
      <c r="AH231" s="22">
        <f>AE231+AF231/20+AG231/240</f>
        <v>3.9958333333333336</v>
      </c>
      <c r="AL231" s="22">
        <f t="shared" si="59"/>
        <v>1.9979166666666668</v>
      </c>
      <c r="AM231" s="22">
        <f>1+7/12</f>
        <v>1.5833333333333335</v>
      </c>
      <c r="BI231" s="22">
        <v>1.9979166666666668</v>
      </c>
      <c r="BY231" s="44">
        <f t="shared" si="60"/>
        <v>47.95</v>
      </c>
      <c r="BZ231" s="44">
        <f t="shared" si="61"/>
        <v>23.975</v>
      </c>
      <c r="CL231">
        <f t="shared" si="62"/>
        <v>1468</v>
      </c>
      <c r="CM231" s="2" t="s">
        <v>1410</v>
      </c>
      <c r="CN231" t="s">
        <v>87</v>
      </c>
    </row>
    <row r="232" spans="1:92" ht="12.75">
      <c r="A232" s="18">
        <v>1468</v>
      </c>
      <c r="B232" s="14" t="s">
        <v>1117</v>
      </c>
      <c r="C232" s="14" t="s">
        <v>644</v>
      </c>
      <c r="D232" s="14" t="s">
        <v>364</v>
      </c>
      <c r="E232" s="14" t="s">
        <v>35</v>
      </c>
      <c r="F232" s="32" t="s">
        <v>296</v>
      </c>
      <c r="G232" s="2">
        <v>2</v>
      </c>
      <c r="H232" s="2" t="s">
        <v>5</v>
      </c>
      <c r="I232" s="10">
        <v>3</v>
      </c>
      <c r="J232" s="22">
        <v>2.1</v>
      </c>
      <c r="K232" s="2" t="s">
        <v>982</v>
      </c>
      <c r="L232" s="14" t="s">
        <v>415</v>
      </c>
      <c r="M232" s="2" t="s">
        <v>997</v>
      </c>
      <c r="N232" s="14" t="s">
        <v>1595</v>
      </c>
      <c r="O232" s="14" t="s">
        <v>906</v>
      </c>
      <c r="P232" s="2" t="s">
        <v>742</v>
      </c>
      <c r="Q232" s="10">
        <v>3</v>
      </c>
      <c r="S232" s="10">
        <v>108</v>
      </c>
      <c r="W232" s="44">
        <f>S232*Y232/20</f>
        <v>75.6</v>
      </c>
      <c r="X232" s="44">
        <f t="shared" si="56"/>
        <v>25.2</v>
      </c>
      <c r="Y232" s="22">
        <f t="shared" si="57"/>
        <v>14</v>
      </c>
      <c r="Z232" s="22">
        <f t="shared" si="58"/>
        <v>2.1</v>
      </c>
      <c r="AH232" s="22">
        <f>W232/12</f>
        <v>6.3</v>
      </c>
      <c r="AL232" s="22">
        <f t="shared" si="59"/>
        <v>2.1</v>
      </c>
      <c r="AM232" s="22">
        <f>1+2/12</f>
        <v>1.1666666666666667</v>
      </c>
      <c r="BI232" s="22">
        <v>2.1</v>
      </c>
      <c r="BY232" s="44">
        <f t="shared" si="60"/>
        <v>75.6</v>
      </c>
      <c r="BZ232" s="44">
        <f t="shared" si="61"/>
        <v>25.2</v>
      </c>
      <c r="CL232">
        <f t="shared" si="62"/>
        <v>1468</v>
      </c>
      <c r="CM232" s="2" t="s">
        <v>997</v>
      </c>
      <c r="CN232" t="s">
        <v>49</v>
      </c>
    </row>
    <row r="233" spans="1:91" ht="12.75">
      <c r="A233" s="18">
        <v>1468</v>
      </c>
      <c r="B233" s="14" t="s">
        <v>1117</v>
      </c>
      <c r="C233" s="14" t="s">
        <v>644</v>
      </c>
      <c r="D233" s="14" t="s">
        <v>364</v>
      </c>
      <c r="E233" s="14" t="s">
        <v>35</v>
      </c>
      <c r="F233" s="32" t="s">
        <v>297</v>
      </c>
      <c r="G233" s="2">
        <v>2</v>
      </c>
      <c r="H233" s="2" t="s">
        <v>5</v>
      </c>
      <c r="I233" s="10">
        <v>1</v>
      </c>
      <c r="J233" s="22">
        <v>1.6916666666666667</v>
      </c>
      <c r="K233" s="2" t="s">
        <v>974</v>
      </c>
      <c r="L233" s="14" t="s">
        <v>415</v>
      </c>
      <c r="M233" s="2" t="s">
        <v>997</v>
      </c>
      <c r="N233" s="14" t="s">
        <v>1595</v>
      </c>
      <c r="O233" s="14" t="s">
        <v>906</v>
      </c>
      <c r="P233" s="2" t="s">
        <v>742</v>
      </c>
      <c r="Q233" s="10">
        <v>1</v>
      </c>
      <c r="S233" s="10">
        <v>29</v>
      </c>
      <c r="W233" s="44">
        <f>S233*Y233/20</f>
        <v>20.3</v>
      </c>
      <c r="X233" s="44">
        <f t="shared" si="56"/>
        <v>20.3</v>
      </c>
      <c r="Y233" s="22">
        <f t="shared" si="57"/>
        <v>14</v>
      </c>
      <c r="Z233" s="22">
        <f t="shared" si="58"/>
        <v>1.6916666666666667</v>
      </c>
      <c r="AH233" s="22">
        <f>W233/12</f>
        <v>1.6916666666666667</v>
      </c>
      <c r="AL233" s="22">
        <f t="shared" si="59"/>
        <v>1.6916666666666667</v>
      </c>
      <c r="AM233" s="22">
        <f>1+2/12</f>
        <v>1.1666666666666667</v>
      </c>
      <c r="BI233" s="22">
        <v>1.6916666666666667</v>
      </c>
      <c r="BY233" s="44">
        <f t="shared" si="60"/>
        <v>20.3</v>
      </c>
      <c r="BZ233" s="44">
        <f t="shared" si="61"/>
        <v>20.3</v>
      </c>
      <c r="CL233">
        <f t="shared" si="62"/>
        <v>1468</v>
      </c>
      <c r="CM233" s="2" t="s">
        <v>997</v>
      </c>
    </row>
    <row r="234" spans="1:91" ht="12.75">
      <c r="A234" s="18">
        <v>1468</v>
      </c>
      <c r="B234" s="14" t="s">
        <v>1117</v>
      </c>
      <c r="C234" s="14" t="s">
        <v>644</v>
      </c>
      <c r="D234" s="14" t="s">
        <v>364</v>
      </c>
      <c r="E234" s="14" t="s">
        <v>35</v>
      </c>
      <c r="F234" s="32" t="s">
        <v>298</v>
      </c>
      <c r="G234" s="2">
        <v>2</v>
      </c>
      <c r="H234" s="2" t="s">
        <v>758</v>
      </c>
      <c r="I234" s="10">
        <v>6</v>
      </c>
      <c r="J234" s="22">
        <v>0.625</v>
      </c>
      <c r="K234" s="2" t="s">
        <v>771</v>
      </c>
      <c r="L234" s="14" t="s">
        <v>415</v>
      </c>
      <c r="M234" s="2" t="s">
        <v>761</v>
      </c>
      <c r="N234" s="14" t="s">
        <v>772</v>
      </c>
      <c r="O234" s="14" t="s">
        <v>5</v>
      </c>
      <c r="P234" s="2" t="s">
        <v>742</v>
      </c>
      <c r="Q234" s="10">
        <v>6</v>
      </c>
      <c r="W234" s="44">
        <f>Q234*X234</f>
        <v>45</v>
      </c>
      <c r="X234" s="44">
        <f>12*Z234</f>
        <v>7.5</v>
      </c>
      <c r="Z234" s="22">
        <f>12/20+6/240</f>
        <v>0.625</v>
      </c>
      <c r="AH234" s="22">
        <f>W234/12</f>
        <v>3.75</v>
      </c>
      <c r="AJ234">
        <v>12</v>
      </c>
      <c r="AK234">
        <v>6</v>
      </c>
      <c r="AL234" s="22">
        <f t="shared" si="59"/>
        <v>0.625</v>
      </c>
      <c r="BI234" s="22">
        <v>0.625</v>
      </c>
      <c r="BY234" s="44">
        <f t="shared" si="60"/>
        <v>45</v>
      </c>
      <c r="BZ234" s="44">
        <f t="shared" si="61"/>
        <v>7.5</v>
      </c>
      <c r="CL234">
        <f t="shared" si="62"/>
        <v>1468</v>
      </c>
      <c r="CM234" s="2" t="s">
        <v>761</v>
      </c>
    </row>
    <row r="235" spans="1:13" ht="12.75">
      <c r="A235" s="18"/>
      <c r="E235" s="14"/>
      <c r="F235" s="32"/>
      <c r="G235" s="2"/>
      <c r="M235" s="2"/>
    </row>
    <row r="236" spans="1:92" ht="12.75">
      <c r="A236" s="18">
        <v>1468</v>
      </c>
      <c r="B236" s="14" t="s">
        <v>1239</v>
      </c>
      <c r="C236" s="14" t="s">
        <v>644</v>
      </c>
      <c r="D236" s="14" t="s">
        <v>365</v>
      </c>
      <c r="E236" s="14" t="s">
        <v>369</v>
      </c>
      <c r="F236" s="32" t="s">
        <v>299</v>
      </c>
      <c r="G236" s="2"/>
      <c r="H236" s="2" t="s">
        <v>537</v>
      </c>
      <c r="I236" s="10">
        <v>5</v>
      </c>
      <c r="J236" s="22">
        <v>6.8</v>
      </c>
      <c r="K236" s="2" t="s">
        <v>802</v>
      </c>
      <c r="L236" s="14" t="s">
        <v>415</v>
      </c>
      <c r="M236" s="2" t="s">
        <v>553</v>
      </c>
      <c r="N236" s="14" t="s">
        <v>509</v>
      </c>
      <c r="O236" s="14" t="s">
        <v>437</v>
      </c>
      <c r="P236" s="2" t="s">
        <v>1660</v>
      </c>
      <c r="Q236" s="10">
        <v>5</v>
      </c>
      <c r="W236" s="44">
        <f>Q236*X236</f>
        <v>408</v>
      </c>
      <c r="X236" s="44">
        <f>12*Z236</f>
        <v>81.6</v>
      </c>
      <c r="Z236" s="22">
        <f>6+16/20</f>
        <v>6.8</v>
      </c>
      <c r="AE236">
        <v>34</v>
      </c>
      <c r="AF236">
        <v>0</v>
      </c>
      <c r="AG236">
        <v>0</v>
      </c>
      <c r="AH236" s="22">
        <f>AE236+AF236/20+AG236/240</f>
        <v>34</v>
      </c>
      <c r="AI236">
        <v>6</v>
      </c>
      <c r="AJ236">
        <v>16</v>
      </c>
      <c r="AK236">
        <v>0</v>
      </c>
      <c r="AL236" s="22">
        <f>Z236*1</f>
        <v>6.8</v>
      </c>
      <c r="BQ236" s="22">
        <f>(33/20+7/240)/Q236</f>
        <v>0.3358333333333333</v>
      </c>
      <c r="BR236" s="34">
        <f>Z236+BQ236</f>
        <v>7.135833333333333</v>
      </c>
      <c r="BU236" s="20">
        <f>BQ236/BR236</f>
        <v>0.04706294522947565</v>
      </c>
      <c r="BY236" s="44">
        <f>W236+(BQ236*12*Q236)+BV236</f>
        <v>428.15</v>
      </c>
      <c r="BZ236" s="44">
        <f>BY236/Q236</f>
        <v>85.63</v>
      </c>
      <c r="CL236">
        <f>A236*1</f>
        <v>1468</v>
      </c>
      <c r="CM236" s="2" t="s">
        <v>553</v>
      </c>
      <c r="CN236" t="s">
        <v>86</v>
      </c>
    </row>
    <row r="237" spans="1:91" ht="12.75">
      <c r="A237" s="18">
        <v>1468</v>
      </c>
      <c r="B237" s="14" t="s">
        <v>1239</v>
      </c>
      <c r="C237" s="14" t="s">
        <v>644</v>
      </c>
      <c r="D237" s="14" t="s">
        <v>365</v>
      </c>
      <c r="E237" s="14" t="s">
        <v>369</v>
      </c>
      <c r="F237" s="32" t="s">
        <v>300</v>
      </c>
      <c r="G237" s="2"/>
      <c r="H237" s="2" t="s">
        <v>5</v>
      </c>
      <c r="I237" s="10">
        <v>9</v>
      </c>
      <c r="J237" s="22">
        <v>5.5</v>
      </c>
      <c r="K237" s="2" t="s">
        <v>809</v>
      </c>
      <c r="L237" s="14" t="s">
        <v>415</v>
      </c>
      <c r="M237" s="2" t="s">
        <v>855</v>
      </c>
      <c r="N237" s="14" t="s">
        <v>1511</v>
      </c>
      <c r="O237" s="14" t="s">
        <v>906</v>
      </c>
      <c r="P237" s="2" t="s">
        <v>1660</v>
      </c>
      <c r="Q237" s="10">
        <v>9</v>
      </c>
      <c r="W237" s="44">
        <f>Q237*X237</f>
        <v>594</v>
      </c>
      <c r="X237" s="44">
        <f>12*Z237</f>
        <v>66</v>
      </c>
      <c r="Z237" s="22">
        <f>5+10/20</f>
        <v>5.5</v>
      </c>
      <c r="AE237">
        <v>49</v>
      </c>
      <c r="AF237">
        <v>10</v>
      </c>
      <c r="AG237">
        <v>0</v>
      </c>
      <c r="AH237" s="22">
        <f>AE237+AF237/20+AG237/240</f>
        <v>49.5</v>
      </c>
      <c r="AI237">
        <v>5</v>
      </c>
      <c r="AJ237">
        <v>10</v>
      </c>
      <c r="AK237">
        <v>0</v>
      </c>
      <c r="AL237" s="22">
        <f>Z237*1</f>
        <v>5.5</v>
      </c>
      <c r="BY237" s="44">
        <f>W237+(BQ237*12*Q237)+BV237</f>
        <v>594</v>
      </c>
      <c r="BZ237" s="44">
        <f>BY237/Q237</f>
        <v>66</v>
      </c>
      <c r="CL237">
        <f>A237*1</f>
        <v>1468</v>
      </c>
      <c r="CM237" s="2" t="s">
        <v>855</v>
      </c>
    </row>
    <row r="238" spans="1:78" ht="12.75">
      <c r="A238" s="18"/>
      <c r="E238" s="14"/>
      <c r="F238" s="32"/>
      <c r="G238" s="2"/>
      <c r="M238" s="2"/>
      <c r="BY238" s="44"/>
      <c r="BZ238" s="44"/>
    </row>
    <row r="239" spans="1:91" ht="12.75">
      <c r="A239" s="18">
        <v>1469</v>
      </c>
      <c r="B239" s="14" t="s">
        <v>1117</v>
      </c>
      <c r="C239" s="14" t="s">
        <v>644</v>
      </c>
      <c r="D239" s="14" t="s">
        <v>365</v>
      </c>
      <c r="E239" s="14" t="s">
        <v>370</v>
      </c>
      <c r="F239" s="32" t="s">
        <v>301</v>
      </c>
      <c r="G239" s="2">
        <v>1</v>
      </c>
      <c r="H239" s="2" t="s">
        <v>537</v>
      </c>
      <c r="I239" s="10">
        <v>10</v>
      </c>
      <c r="J239" s="22">
        <v>9</v>
      </c>
      <c r="K239" s="2" t="s">
        <v>811</v>
      </c>
      <c r="L239" s="14" t="s">
        <v>415</v>
      </c>
      <c r="M239" s="2" t="s">
        <v>571</v>
      </c>
      <c r="N239" s="14" t="s">
        <v>509</v>
      </c>
      <c r="O239" s="14" t="s">
        <v>1269</v>
      </c>
      <c r="P239" s="2" t="s">
        <v>618</v>
      </c>
      <c r="Q239" s="10">
        <v>10</v>
      </c>
      <c r="W239" s="44">
        <f aca="true" t="shared" si="63" ref="W239:W247">Q239*X239</f>
        <v>1080</v>
      </c>
      <c r="X239" s="44">
        <f aca="true" t="shared" si="64" ref="X239:X247">12*Z239</f>
        <v>108</v>
      </c>
      <c r="Z239" s="22">
        <v>9</v>
      </c>
      <c r="AE239">
        <v>90</v>
      </c>
      <c r="AF239">
        <v>0</v>
      </c>
      <c r="AG239">
        <v>0</v>
      </c>
      <c r="AH239" s="22">
        <f aca="true" t="shared" si="65" ref="AH239:AH245">AE239+AF239/20+AG239/240</f>
        <v>90</v>
      </c>
      <c r="AI239">
        <v>9</v>
      </c>
      <c r="AJ239">
        <v>0</v>
      </c>
      <c r="AK239">
        <v>0</v>
      </c>
      <c r="AL239" s="22">
        <f aca="true" t="shared" si="66" ref="AL239:AL247">Z239*1</f>
        <v>9</v>
      </c>
      <c r="BY239" s="44">
        <f aca="true" t="shared" si="67" ref="BY239:BY247">W239+(BQ239*12*Q239)+BV239</f>
        <v>1080</v>
      </c>
      <c r="BZ239" s="44">
        <f aca="true" t="shared" si="68" ref="BZ239:BZ247">BY239/Q239</f>
        <v>108</v>
      </c>
      <c r="CL239">
        <f aca="true" t="shared" si="69" ref="CL239:CL247">A239*1</f>
        <v>1469</v>
      </c>
      <c r="CM239" s="2" t="s">
        <v>571</v>
      </c>
    </row>
    <row r="240" spans="1:91" ht="12.75">
      <c r="A240" s="18">
        <v>1469</v>
      </c>
      <c r="B240" s="14" t="s">
        <v>1117</v>
      </c>
      <c r="C240" s="14" t="s">
        <v>644</v>
      </c>
      <c r="D240" s="14" t="s">
        <v>365</v>
      </c>
      <c r="E240" s="14" t="s">
        <v>370</v>
      </c>
      <c r="F240" s="32" t="s">
        <v>302</v>
      </c>
      <c r="G240" s="2">
        <v>1</v>
      </c>
      <c r="H240" s="2" t="s">
        <v>537</v>
      </c>
      <c r="I240" s="10">
        <v>5</v>
      </c>
      <c r="J240" s="22">
        <v>9</v>
      </c>
      <c r="K240" s="2" t="s">
        <v>801</v>
      </c>
      <c r="L240" s="14" t="s">
        <v>415</v>
      </c>
      <c r="M240" s="2" t="s">
        <v>549</v>
      </c>
      <c r="N240" s="14" t="s">
        <v>509</v>
      </c>
      <c r="O240" s="14" t="s">
        <v>416</v>
      </c>
      <c r="P240" s="2" t="s">
        <v>618</v>
      </c>
      <c r="Q240" s="10">
        <v>5</v>
      </c>
      <c r="W240" s="44">
        <f t="shared" si="63"/>
        <v>540</v>
      </c>
      <c r="X240" s="44">
        <f t="shared" si="64"/>
        <v>108</v>
      </c>
      <c r="Z240" s="22">
        <v>9</v>
      </c>
      <c r="AE240">
        <v>45</v>
      </c>
      <c r="AF240">
        <v>0</v>
      </c>
      <c r="AG240">
        <v>0</v>
      </c>
      <c r="AH240" s="22">
        <f t="shared" si="65"/>
        <v>45</v>
      </c>
      <c r="AI240">
        <v>9</v>
      </c>
      <c r="AJ240">
        <v>0</v>
      </c>
      <c r="AK240">
        <v>0</v>
      </c>
      <c r="AL240" s="22">
        <f t="shared" si="66"/>
        <v>9</v>
      </c>
      <c r="BY240" s="44">
        <f t="shared" si="67"/>
        <v>540</v>
      </c>
      <c r="BZ240" s="44">
        <f t="shared" si="68"/>
        <v>108</v>
      </c>
      <c r="CL240">
        <f t="shared" si="69"/>
        <v>1469</v>
      </c>
      <c r="CM240" s="2" t="s">
        <v>549</v>
      </c>
    </row>
    <row r="241" spans="1:91" ht="12.75">
      <c r="A241" s="18">
        <v>1469</v>
      </c>
      <c r="B241" s="14" t="s">
        <v>1117</v>
      </c>
      <c r="C241" s="14" t="s">
        <v>644</v>
      </c>
      <c r="D241" s="14" t="s">
        <v>365</v>
      </c>
      <c r="E241" s="14" t="s">
        <v>370</v>
      </c>
      <c r="F241" s="32" t="s">
        <v>303</v>
      </c>
      <c r="G241" s="2">
        <v>1</v>
      </c>
      <c r="H241" s="2" t="s">
        <v>537</v>
      </c>
      <c r="I241" s="10">
        <v>1</v>
      </c>
      <c r="J241" s="22">
        <v>3</v>
      </c>
      <c r="K241" s="2" t="s">
        <v>985</v>
      </c>
      <c r="L241" s="14" t="s">
        <v>1414</v>
      </c>
      <c r="M241" s="2" t="s">
        <v>593</v>
      </c>
      <c r="N241" s="14" t="s">
        <v>509</v>
      </c>
      <c r="O241" s="14" t="s">
        <v>906</v>
      </c>
      <c r="P241" s="2" t="s">
        <v>1436</v>
      </c>
      <c r="Q241" s="10">
        <v>1</v>
      </c>
      <c r="W241" s="44">
        <f t="shared" si="63"/>
        <v>36</v>
      </c>
      <c r="X241" s="44">
        <f t="shared" si="64"/>
        <v>36</v>
      </c>
      <c r="Z241" s="22">
        <v>3</v>
      </c>
      <c r="AE241">
        <v>3</v>
      </c>
      <c r="AF241">
        <v>0</v>
      </c>
      <c r="AG241">
        <v>0</v>
      </c>
      <c r="AH241" s="22">
        <f t="shared" si="65"/>
        <v>3</v>
      </c>
      <c r="AI241">
        <v>3</v>
      </c>
      <c r="AJ241">
        <v>0</v>
      </c>
      <c r="AK241">
        <v>0</v>
      </c>
      <c r="AL241" s="22">
        <f t="shared" si="66"/>
        <v>3</v>
      </c>
      <c r="AN241" s="22">
        <v>3</v>
      </c>
      <c r="BY241" s="44">
        <f t="shared" si="67"/>
        <v>36</v>
      </c>
      <c r="BZ241" s="44">
        <f t="shared" si="68"/>
        <v>36</v>
      </c>
      <c r="CL241">
        <f t="shared" si="69"/>
        <v>1469</v>
      </c>
      <c r="CM241" s="2" t="s">
        <v>593</v>
      </c>
    </row>
    <row r="242" spans="1:91" ht="12.75">
      <c r="A242" s="18">
        <v>1469</v>
      </c>
      <c r="B242" s="14" t="s">
        <v>1117</v>
      </c>
      <c r="C242" s="14" t="s">
        <v>644</v>
      </c>
      <c r="D242" s="14" t="s">
        <v>365</v>
      </c>
      <c r="E242" s="14" t="s">
        <v>370</v>
      </c>
      <c r="F242" s="32" t="s">
        <v>304</v>
      </c>
      <c r="G242" s="2">
        <v>1</v>
      </c>
      <c r="H242" s="2" t="s">
        <v>537</v>
      </c>
      <c r="I242" s="10">
        <v>1</v>
      </c>
      <c r="J242" s="22">
        <v>2.9</v>
      </c>
      <c r="K242" s="2" t="s">
        <v>985</v>
      </c>
      <c r="L242" s="14" t="s">
        <v>1414</v>
      </c>
      <c r="M242" s="2" t="s">
        <v>593</v>
      </c>
      <c r="N242" s="14" t="s">
        <v>509</v>
      </c>
      <c r="O242" s="14" t="s">
        <v>906</v>
      </c>
      <c r="P242" s="2" t="s">
        <v>1436</v>
      </c>
      <c r="Q242" s="10">
        <v>1</v>
      </c>
      <c r="W242" s="44">
        <f t="shared" si="63"/>
        <v>34.8</v>
      </c>
      <c r="X242" s="44">
        <f t="shared" si="64"/>
        <v>34.8</v>
      </c>
      <c r="Z242" s="22">
        <f>2+18/20</f>
        <v>2.9</v>
      </c>
      <c r="AE242">
        <v>2</v>
      </c>
      <c r="AF242">
        <v>18</v>
      </c>
      <c r="AG242">
        <v>0</v>
      </c>
      <c r="AH242" s="22">
        <f t="shared" si="65"/>
        <v>2.9</v>
      </c>
      <c r="AI242">
        <v>2</v>
      </c>
      <c r="AJ242">
        <v>18</v>
      </c>
      <c r="AK242">
        <v>0</v>
      </c>
      <c r="AL242" s="22">
        <f t="shared" si="66"/>
        <v>2.9</v>
      </c>
      <c r="AN242" s="22">
        <v>2.9</v>
      </c>
      <c r="BY242" s="44">
        <f t="shared" si="67"/>
        <v>34.8</v>
      </c>
      <c r="BZ242" s="44">
        <f t="shared" si="68"/>
        <v>34.8</v>
      </c>
      <c r="CL242">
        <f t="shared" si="69"/>
        <v>1469</v>
      </c>
      <c r="CM242" s="2" t="s">
        <v>593</v>
      </c>
    </row>
    <row r="243" spans="1:91" ht="12.75">
      <c r="A243" s="18">
        <v>1469</v>
      </c>
      <c r="B243" s="14" t="s">
        <v>1117</v>
      </c>
      <c r="C243" s="14" t="s">
        <v>644</v>
      </c>
      <c r="D243" s="14" t="s">
        <v>365</v>
      </c>
      <c r="E243" s="14" t="s">
        <v>370</v>
      </c>
      <c r="F243" s="32" t="s">
        <v>305</v>
      </c>
      <c r="G243" s="2">
        <v>1</v>
      </c>
      <c r="H243" s="2" t="s">
        <v>537</v>
      </c>
      <c r="I243" s="10">
        <v>1</v>
      </c>
      <c r="J243" s="22">
        <v>2.6083333333333334</v>
      </c>
      <c r="K243" s="2" t="s">
        <v>985</v>
      </c>
      <c r="L243" s="14" t="s">
        <v>1414</v>
      </c>
      <c r="M243" s="2" t="s">
        <v>593</v>
      </c>
      <c r="N243" s="14" t="s">
        <v>509</v>
      </c>
      <c r="O243" s="14" t="s">
        <v>906</v>
      </c>
      <c r="P243" s="2" t="s">
        <v>1436</v>
      </c>
      <c r="Q243" s="10">
        <v>1</v>
      </c>
      <c r="W243" s="44">
        <f t="shared" si="63"/>
        <v>31.3</v>
      </c>
      <c r="X243" s="44">
        <f t="shared" si="64"/>
        <v>31.3</v>
      </c>
      <c r="Z243" s="22">
        <f>2+12/20+2/240</f>
        <v>2.6083333333333334</v>
      </c>
      <c r="AE243">
        <v>2</v>
      </c>
      <c r="AF243">
        <v>12</v>
      </c>
      <c r="AG243">
        <v>2</v>
      </c>
      <c r="AH243" s="22">
        <f t="shared" si="65"/>
        <v>2.6083333333333334</v>
      </c>
      <c r="AI243">
        <v>2</v>
      </c>
      <c r="AJ243">
        <v>12</v>
      </c>
      <c r="AK243">
        <v>2</v>
      </c>
      <c r="AL243" s="22">
        <f t="shared" si="66"/>
        <v>2.6083333333333334</v>
      </c>
      <c r="AN243" s="22">
        <v>2.6083333333333334</v>
      </c>
      <c r="BY243" s="44">
        <f t="shared" si="67"/>
        <v>31.3</v>
      </c>
      <c r="BZ243" s="44">
        <f t="shared" si="68"/>
        <v>31.3</v>
      </c>
      <c r="CL243">
        <f t="shared" si="69"/>
        <v>1469</v>
      </c>
      <c r="CM243" s="2" t="s">
        <v>593</v>
      </c>
    </row>
    <row r="244" spans="1:91" ht="12.75">
      <c r="A244" s="18">
        <v>1469</v>
      </c>
      <c r="B244" s="14" t="s">
        <v>1117</v>
      </c>
      <c r="C244" s="14" t="s">
        <v>644</v>
      </c>
      <c r="D244" s="14" t="s">
        <v>365</v>
      </c>
      <c r="E244" s="14" t="s">
        <v>370</v>
      </c>
      <c r="F244" s="32" t="s">
        <v>306</v>
      </c>
      <c r="G244" s="2">
        <v>1</v>
      </c>
      <c r="H244" s="2" t="s">
        <v>537</v>
      </c>
      <c r="I244" s="10">
        <v>1</v>
      </c>
      <c r="J244" s="22">
        <v>2.8</v>
      </c>
      <c r="K244" s="2" t="s">
        <v>985</v>
      </c>
      <c r="L244" s="14" t="s">
        <v>1414</v>
      </c>
      <c r="M244" s="2" t="s">
        <v>593</v>
      </c>
      <c r="N244" s="14" t="s">
        <v>509</v>
      </c>
      <c r="O244" s="14" t="s">
        <v>906</v>
      </c>
      <c r="P244" s="2" t="s">
        <v>1436</v>
      </c>
      <c r="Q244" s="10">
        <v>1</v>
      </c>
      <c r="W244" s="44">
        <f t="shared" si="63"/>
        <v>33.599999999999994</v>
      </c>
      <c r="X244" s="44">
        <f t="shared" si="64"/>
        <v>33.599999999999994</v>
      </c>
      <c r="Z244" s="22">
        <f>2+16/20</f>
        <v>2.8</v>
      </c>
      <c r="AE244">
        <v>2</v>
      </c>
      <c r="AF244">
        <v>16</v>
      </c>
      <c r="AG244">
        <v>0</v>
      </c>
      <c r="AH244" s="22">
        <f t="shared" si="65"/>
        <v>2.8</v>
      </c>
      <c r="AI244">
        <v>2</v>
      </c>
      <c r="AJ244">
        <v>16</v>
      </c>
      <c r="AK244">
        <v>0</v>
      </c>
      <c r="AL244" s="22">
        <f t="shared" si="66"/>
        <v>2.8</v>
      </c>
      <c r="AN244" s="22">
        <v>2.8</v>
      </c>
      <c r="BY244" s="44">
        <f t="shared" si="67"/>
        <v>33.599999999999994</v>
      </c>
      <c r="BZ244" s="44">
        <f t="shared" si="68"/>
        <v>33.599999999999994</v>
      </c>
      <c r="CL244">
        <f t="shared" si="69"/>
        <v>1469</v>
      </c>
      <c r="CM244" s="2" t="s">
        <v>593</v>
      </c>
    </row>
    <row r="245" spans="1:91" ht="12.75">
      <c r="A245" s="18">
        <v>1469</v>
      </c>
      <c r="B245" s="14" t="s">
        <v>1117</v>
      </c>
      <c r="C245" s="14" t="s">
        <v>644</v>
      </c>
      <c r="D245" s="14" t="s">
        <v>365</v>
      </c>
      <c r="E245" s="14" t="s">
        <v>370</v>
      </c>
      <c r="F245" s="32" t="s">
        <v>307</v>
      </c>
      <c r="G245" s="2">
        <v>1</v>
      </c>
      <c r="H245" s="2" t="s">
        <v>537</v>
      </c>
      <c r="I245" s="10">
        <v>1</v>
      </c>
      <c r="J245" s="22">
        <v>2.65</v>
      </c>
      <c r="K245" s="2" t="s">
        <v>985</v>
      </c>
      <c r="L245" s="14" t="s">
        <v>1414</v>
      </c>
      <c r="M245" s="2" t="s">
        <v>593</v>
      </c>
      <c r="N245" s="14" t="s">
        <v>509</v>
      </c>
      <c r="O245" s="14" t="s">
        <v>906</v>
      </c>
      <c r="P245" s="2" t="s">
        <v>1436</v>
      </c>
      <c r="Q245" s="10">
        <v>1</v>
      </c>
      <c r="W245" s="44">
        <f t="shared" si="63"/>
        <v>31.799999999999997</v>
      </c>
      <c r="X245" s="44">
        <f t="shared" si="64"/>
        <v>31.799999999999997</v>
      </c>
      <c r="Z245" s="22">
        <f>2+13/20</f>
        <v>2.65</v>
      </c>
      <c r="AE245">
        <v>2</v>
      </c>
      <c r="AF245">
        <v>13</v>
      </c>
      <c r="AG245">
        <v>0</v>
      </c>
      <c r="AH245" s="22">
        <f t="shared" si="65"/>
        <v>2.65</v>
      </c>
      <c r="AI245">
        <v>2</v>
      </c>
      <c r="AJ245">
        <v>13</v>
      </c>
      <c r="AK245">
        <v>0</v>
      </c>
      <c r="AL245" s="22">
        <f t="shared" si="66"/>
        <v>2.65</v>
      </c>
      <c r="AN245" s="22">
        <v>2.65</v>
      </c>
      <c r="BY245" s="44">
        <f t="shared" si="67"/>
        <v>31.799999999999997</v>
      </c>
      <c r="BZ245" s="44">
        <f t="shared" si="68"/>
        <v>31.799999999999997</v>
      </c>
      <c r="CL245">
        <f t="shared" si="69"/>
        <v>1469</v>
      </c>
      <c r="CM245" s="2" t="s">
        <v>593</v>
      </c>
    </row>
    <row r="246" spans="1:91" ht="12.75">
      <c r="A246" s="18">
        <v>1469</v>
      </c>
      <c r="B246" s="14" t="s">
        <v>1117</v>
      </c>
      <c r="C246" s="14" t="s">
        <v>644</v>
      </c>
      <c r="D246" s="14" t="s">
        <v>365</v>
      </c>
      <c r="E246" s="14" t="s">
        <v>370</v>
      </c>
      <c r="F246" s="32" t="s">
        <v>308</v>
      </c>
      <c r="G246" s="2">
        <v>1</v>
      </c>
      <c r="H246" s="2" t="s">
        <v>537</v>
      </c>
      <c r="I246" s="10">
        <v>2</v>
      </c>
      <c r="J246" s="22">
        <v>2.7</v>
      </c>
      <c r="K246" s="2" t="s">
        <v>581</v>
      </c>
      <c r="L246" s="14" t="s">
        <v>415</v>
      </c>
      <c r="M246" s="2" t="s">
        <v>587</v>
      </c>
      <c r="N246" s="14" t="s">
        <v>509</v>
      </c>
      <c r="O246" s="14" t="s">
        <v>906</v>
      </c>
      <c r="P246" s="2" t="s">
        <v>1436</v>
      </c>
      <c r="Q246" s="10">
        <v>2</v>
      </c>
      <c r="W246" s="44">
        <f t="shared" si="63"/>
        <v>64.80000000000001</v>
      </c>
      <c r="X246" s="44">
        <f t="shared" si="64"/>
        <v>32.400000000000006</v>
      </c>
      <c r="Z246" s="22">
        <f>2+14/20</f>
        <v>2.7</v>
      </c>
      <c r="AH246" s="22">
        <f>Z246*Q246</f>
        <v>5.4</v>
      </c>
      <c r="AI246">
        <v>2</v>
      </c>
      <c r="AJ246">
        <v>14</v>
      </c>
      <c r="AK246">
        <v>0</v>
      </c>
      <c r="AL246" s="22">
        <f t="shared" si="66"/>
        <v>2.7</v>
      </c>
      <c r="BF246" s="22">
        <v>2.7</v>
      </c>
      <c r="BI246" s="22">
        <v>2.7</v>
      </c>
      <c r="BY246" s="44">
        <f t="shared" si="67"/>
        <v>64.80000000000001</v>
      </c>
      <c r="BZ246" s="44">
        <f t="shared" si="68"/>
        <v>32.400000000000006</v>
      </c>
      <c r="CL246">
        <f t="shared" si="69"/>
        <v>1469</v>
      </c>
      <c r="CM246" s="2" t="s">
        <v>587</v>
      </c>
    </row>
    <row r="247" spans="1:91" ht="12.75">
      <c r="A247" s="18">
        <v>1469</v>
      </c>
      <c r="B247" s="14" t="s">
        <v>1117</v>
      </c>
      <c r="C247" s="14" t="s">
        <v>644</v>
      </c>
      <c r="D247" s="14" t="s">
        <v>365</v>
      </c>
      <c r="E247" s="14" t="s">
        <v>370</v>
      </c>
      <c r="F247" s="32" t="s">
        <v>309</v>
      </c>
      <c r="G247" s="2">
        <v>1</v>
      </c>
      <c r="H247" s="2" t="s">
        <v>537</v>
      </c>
      <c r="I247" s="10">
        <v>1</v>
      </c>
      <c r="J247" s="22">
        <v>2.8</v>
      </c>
      <c r="K247" s="2" t="s">
        <v>528</v>
      </c>
      <c r="L247" s="14" t="s">
        <v>415</v>
      </c>
      <c r="M247" s="2" t="s">
        <v>545</v>
      </c>
      <c r="N247" s="14" t="s">
        <v>509</v>
      </c>
      <c r="O247" s="14" t="s">
        <v>906</v>
      </c>
      <c r="P247" s="2" t="s">
        <v>5</v>
      </c>
      <c r="Q247" s="10">
        <v>1</v>
      </c>
      <c r="W247" s="44">
        <f t="shared" si="63"/>
        <v>33.599999999999994</v>
      </c>
      <c r="X247" s="44">
        <f t="shared" si="64"/>
        <v>33.599999999999994</v>
      </c>
      <c r="Z247" s="22">
        <f>2+16/20</f>
        <v>2.8</v>
      </c>
      <c r="AE247">
        <v>2</v>
      </c>
      <c r="AF247">
        <v>16</v>
      </c>
      <c r="AG247">
        <v>0</v>
      </c>
      <c r="AH247" s="22">
        <f>AE247+AF247/20+AG247/240</f>
        <v>2.8</v>
      </c>
      <c r="AI247">
        <v>2</v>
      </c>
      <c r="AJ247">
        <v>16</v>
      </c>
      <c r="AK247">
        <v>0</v>
      </c>
      <c r="AL247" s="22">
        <f t="shared" si="66"/>
        <v>2.8</v>
      </c>
      <c r="BY247" s="44">
        <f t="shared" si="67"/>
        <v>33.599999999999994</v>
      </c>
      <c r="BZ247" s="44">
        <f t="shared" si="68"/>
        <v>33.599999999999994</v>
      </c>
      <c r="CL247">
        <f t="shared" si="69"/>
        <v>1469</v>
      </c>
      <c r="CM247" s="2" t="s">
        <v>545</v>
      </c>
    </row>
    <row r="248" spans="13:91" ht="12.75">
      <c r="M248" s="2"/>
      <c r="W248" s="44"/>
      <c r="X248" s="44"/>
      <c r="CM248" s="2"/>
    </row>
    <row r="249" spans="1:91" ht="12.75">
      <c r="A249" s="18">
        <v>1469</v>
      </c>
      <c r="B249" s="14" t="s">
        <v>1117</v>
      </c>
      <c r="C249" s="14" t="s">
        <v>644</v>
      </c>
      <c r="D249" s="14" t="s">
        <v>365</v>
      </c>
      <c r="E249" s="14" t="s">
        <v>370</v>
      </c>
      <c r="F249" s="32" t="s">
        <v>310</v>
      </c>
      <c r="G249" s="2">
        <v>2</v>
      </c>
      <c r="H249" s="2" t="s">
        <v>5</v>
      </c>
      <c r="I249" s="10">
        <v>2</v>
      </c>
      <c r="J249" s="22">
        <v>1.9479166666666667</v>
      </c>
      <c r="K249" s="2" t="s">
        <v>986</v>
      </c>
      <c r="L249" s="14" t="s">
        <v>1414</v>
      </c>
      <c r="M249" s="2" t="s">
        <v>1000</v>
      </c>
      <c r="N249" s="14" t="s">
        <v>1595</v>
      </c>
      <c r="O249" s="14" t="s">
        <v>906</v>
      </c>
      <c r="P249" s="2" t="s">
        <v>743</v>
      </c>
      <c r="Q249" s="10">
        <v>2</v>
      </c>
      <c r="W249" s="44">
        <f>12*(7+15/20+10/240)/2</f>
        <v>46.75</v>
      </c>
      <c r="X249" s="44">
        <f>W249/Q249</f>
        <v>23.375</v>
      </c>
      <c r="Z249" s="22">
        <f>X249/12</f>
        <v>1.9479166666666667</v>
      </c>
      <c r="AH249" s="22">
        <f>W249/12</f>
        <v>3.8958333333333335</v>
      </c>
      <c r="AL249" s="22">
        <f>Z249*1</f>
        <v>1.9479166666666667</v>
      </c>
      <c r="BY249" s="44">
        <f>W249+(BQ249*12*Q249)+BV249</f>
        <v>46.75</v>
      </c>
      <c r="BZ249" s="44">
        <f>BY249/Q249</f>
        <v>23.375</v>
      </c>
      <c r="CL249">
        <f>A249*1</f>
        <v>1469</v>
      </c>
      <c r="CM249" s="2" t="s">
        <v>1000</v>
      </c>
    </row>
    <row r="250" spans="1:91" ht="12.75">
      <c r="A250" s="18">
        <v>1469</v>
      </c>
      <c r="B250" s="14" t="s">
        <v>1117</v>
      </c>
      <c r="C250" s="14" t="s">
        <v>644</v>
      </c>
      <c r="D250" s="14" t="s">
        <v>365</v>
      </c>
      <c r="E250" s="14" t="s">
        <v>370</v>
      </c>
      <c r="F250" s="32" t="s">
        <v>311</v>
      </c>
      <c r="G250" s="2">
        <v>2</v>
      </c>
      <c r="H250" s="2" t="s">
        <v>5</v>
      </c>
      <c r="I250" s="10">
        <v>2</v>
      </c>
      <c r="J250" s="22">
        <v>1.9479166666666667</v>
      </c>
      <c r="K250" s="2" t="s">
        <v>492</v>
      </c>
      <c r="L250" s="14" t="s">
        <v>1414</v>
      </c>
      <c r="M250" s="2" t="s">
        <v>501</v>
      </c>
      <c r="N250" s="14" t="s">
        <v>1595</v>
      </c>
      <c r="O250" s="14" t="s">
        <v>416</v>
      </c>
      <c r="P250" s="2" t="s">
        <v>743</v>
      </c>
      <c r="Q250" s="10">
        <v>2</v>
      </c>
      <c r="W250" s="44">
        <f>12*(7+15/20+10/240)/2</f>
        <v>46.75</v>
      </c>
      <c r="X250" s="44">
        <f>W250/Q250</f>
        <v>23.375</v>
      </c>
      <c r="Z250" s="22">
        <f>X250/12</f>
        <v>1.9479166666666667</v>
      </c>
      <c r="AH250" s="22">
        <f>W250/12</f>
        <v>3.8958333333333335</v>
      </c>
      <c r="AL250" s="22">
        <f>Z250*1</f>
        <v>1.9479166666666667</v>
      </c>
      <c r="BY250" s="44">
        <f>W250+(BQ250*12*Q250)+BV250</f>
        <v>46.75</v>
      </c>
      <c r="BZ250" s="44">
        <f>BY250/Q250</f>
        <v>23.375</v>
      </c>
      <c r="CL250">
        <f>A250*1</f>
        <v>1469</v>
      </c>
      <c r="CM250" s="2" t="s">
        <v>501</v>
      </c>
    </row>
    <row r="251" spans="1:91" ht="12.75">
      <c r="A251" s="18">
        <v>1469</v>
      </c>
      <c r="B251" s="14" t="s">
        <v>1117</v>
      </c>
      <c r="C251" s="14" t="s">
        <v>644</v>
      </c>
      <c r="D251" s="14" t="s">
        <v>365</v>
      </c>
      <c r="E251" s="14" t="s">
        <v>370</v>
      </c>
      <c r="F251" s="32" t="s">
        <v>312</v>
      </c>
      <c r="G251" s="2">
        <v>2</v>
      </c>
      <c r="H251" s="2" t="s">
        <v>758</v>
      </c>
      <c r="I251" s="10">
        <v>6</v>
      </c>
      <c r="J251" s="22">
        <v>0.6</v>
      </c>
      <c r="K251" s="2" t="s">
        <v>754</v>
      </c>
      <c r="L251" s="14" t="s">
        <v>415</v>
      </c>
      <c r="M251" s="2" t="s">
        <v>760</v>
      </c>
      <c r="N251" s="14" t="s">
        <v>772</v>
      </c>
      <c r="O251" s="14" t="s">
        <v>5</v>
      </c>
      <c r="P251" s="2" t="s">
        <v>5</v>
      </c>
      <c r="Q251" s="10">
        <v>6</v>
      </c>
      <c r="W251" s="44">
        <f>Q251*X251</f>
        <v>43.199999999999996</v>
      </c>
      <c r="X251" s="44">
        <f>12*Z251</f>
        <v>7.199999999999999</v>
      </c>
      <c r="Z251" s="22">
        <f>12/20</f>
        <v>0.6</v>
      </c>
      <c r="AE251">
        <v>3</v>
      </c>
      <c r="AF251">
        <v>12</v>
      </c>
      <c r="AG251">
        <v>0</v>
      </c>
      <c r="AH251" s="22">
        <f>AE251+AF251/20+AG251/240</f>
        <v>3.6</v>
      </c>
      <c r="AJ251">
        <v>12</v>
      </c>
      <c r="AK251">
        <v>0</v>
      </c>
      <c r="AL251" s="22">
        <f>Z251*1</f>
        <v>0.6</v>
      </c>
      <c r="BY251" s="44">
        <f>W251+(BQ251*12*Q251)+BV251</f>
        <v>43.199999999999996</v>
      </c>
      <c r="BZ251" s="44">
        <f>BY251/Q251</f>
        <v>7.199999999999999</v>
      </c>
      <c r="CL251">
        <f>A251*1</f>
        <v>1469</v>
      </c>
      <c r="CM251" s="2" t="s">
        <v>760</v>
      </c>
    </row>
    <row r="253" spans="1:91" ht="12.75">
      <c r="A253" s="18">
        <v>1469</v>
      </c>
      <c r="B253" s="14" t="s">
        <v>1239</v>
      </c>
      <c r="C253" s="14" t="s">
        <v>644</v>
      </c>
      <c r="D253" s="14" t="s">
        <v>235</v>
      </c>
      <c r="E253" s="14" t="s">
        <v>372</v>
      </c>
      <c r="F253" s="32" t="s">
        <v>313</v>
      </c>
      <c r="G253" s="2"/>
      <c r="H253" s="2" t="s">
        <v>537</v>
      </c>
      <c r="I253" s="10">
        <v>5</v>
      </c>
      <c r="J253" s="22">
        <v>5.5</v>
      </c>
      <c r="K253" s="2" t="s">
        <v>840</v>
      </c>
      <c r="L253" s="14" t="s">
        <v>415</v>
      </c>
      <c r="M253" s="2" t="s">
        <v>556</v>
      </c>
      <c r="N253" s="14" t="s">
        <v>509</v>
      </c>
      <c r="O253" s="14" t="s">
        <v>907</v>
      </c>
      <c r="P253" s="2" t="s">
        <v>1660</v>
      </c>
      <c r="Q253" s="10">
        <v>5</v>
      </c>
      <c r="W253" s="44">
        <f>Q253*X253</f>
        <v>330</v>
      </c>
      <c r="X253" s="44">
        <f>12*Z253</f>
        <v>66</v>
      </c>
      <c r="Z253" s="22">
        <f>5+10/20</f>
        <v>5.5</v>
      </c>
      <c r="AH253" s="22">
        <f>Z253*Q253</f>
        <v>27.5</v>
      </c>
      <c r="AI253">
        <v>5</v>
      </c>
      <c r="AJ253">
        <v>10</v>
      </c>
      <c r="AK253">
        <v>0</v>
      </c>
      <c r="AL253" s="22">
        <f>Z253*1</f>
        <v>5.5</v>
      </c>
      <c r="BY253" s="44">
        <f>W253+(BQ253*12*Q253)+BV253</f>
        <v>330</v>
      </c>
      <c r="BZ253" s="44">
        <f>BY253/Q253</f>
        <v>66</v>
      </c>
      <c r="CL253">
        <f>A253*1</f>
        <v>1469</v>
      </c>
      <c r="CM253" s="2" t="s">
        <v>556</v>
      </c>
    </row>
    <row r="254" spans="1:91" ht="12.75">
      <c r="A254" s="18">
        <v>1469</v>
      </c>
      <c r="B254" s="14" t="s">
        <v>1239</v>
      </c>
      <c r="C254" s="14" t="s">
        <v>644</v>
      </c>
      <c r="D254" s="14" t="s">
        <v>235</v>
      </c>
      <c r="E254" s="14" t="s">
        <v>372</v>
      </c>
      <c r="F254" s="32" t="s">
        <v>314</v>
      </c>
      <c r="G254" s="2"/>
      <c r="H254" s="2" t="s">
        <v>537</v>
      </c>
      <c r="I254" s="10">
        <v>9</v>
      </c>
      <c r="J254" s="22">
        <v>5.5</v>
      </c>
      <c r="K254" s="2" t="s">
        <v>863</v>
      </c>
      <c r="L254" s="14" t="s">
        <v>415</v>
      </c>
      <c r="M254" s="2" t="s">
        <v>569</v>
      </c>
      <c r="N254" s="14" t="s">
        <v>509</v>
      </c>
      <c r="O254" s="14" t="s">
        <v>906</v>
      </c>
      <c r="P254" s="2" t="s">
        <v>1660</v>
      </c>
      <c r="Q254" s="10">
        <v>9</v>
      </c>
      <c r="W254" s="44">
        <f>Q254*X254</f>
        <v>594</v>
      </c>
      <c r="X254" s="44">
        <f>12*Z254</f>
        <v>66</v>
      </c>
      <c r="Z254" s="22">
        <f>5+10/20</f>
        <v>5.5</v>
      </c>
      <c r="AH254" s="22">
        <f>Z254*Q254</f>
        <v>49.5</v>
      </c>
      <c r="AI254">
        <v>5</v>
      </c>
      <c r="AJ254">
        <v>10</v>
      </c>
      <c r="AK254">
        <v>0</v>
      </c>
      <c r="AL254" s="22">
        <f>Z254*1</f>
        <v>5.5</v>
      </c>
      <c r="BY254" s="44">
        <f>W254+(BQ254*12*Q254)+BV254</f>
        <v>594</v>
      </c>
      <c r="BZ254" s="44">
        <f>BY254/Q254</f>
        <v>66</v>
      </c>
      <c r="CL254">
        <f>A254*1</f>
        <v>1469</v>
      </c>
      <c r="CM254" s="2" t="s">
        <v>569</v>
      </c>
    </row>
    <row r="255" spans="1:91" ht="12.75">
      <c r="A255" s="18"/>
      <c r="E255" s="14"/>
      <c r="J255" s="22"/>
      <c r="M255" s="2"/>
      <c r="AH255" s="22"/>
      <c r="AL255" s="22"/>
      <c r="CM255" s="2"/>
    </row>
    <row r="256" spans="1:91" ht="12.75">
      <c r="A256" s="18">
        <v>1470</v>
      </c>
      <c r="B256" s="14" t="s">
        <v>1117</v>
      </c>
      <c r="C256" s="14" t="s">
        <v>644</v>
      </c>
      <c r="D256" s="14" t="s">
        <v>235</v>
      </c>
      <c r="E256" s="14" t="s">
        <v>373</v>
      </c>
      <c r="F256" s="32" t="s">
        <v>315</v>
      </c>
      <c r="G256" s="2">
        <v>1</v>
      </c>
      <c r="H256" s="2" t="s">
        <v>537</v>
      </c>
      <c r="I256" s="10">
        <v>15</v>
      </c>
      <c r="J256" s="22">
        <v>8.5</v>
      </c>
      <c r="K256" s="2" t="s">
        <v>857</v>
      </c>
      <c r="L256" s="14" t="s">
        <v>415</v>
      </c>
      <c r="M256" s="2" t="s">
        <v>582</v>
      </c>
      <c r="N256" s="14" t="s">
        <v>509</v>
      </c>
      <c r="O256" s="14" t="s">
        <v>898</v>
      </c>
      <c r="P256" s="2" t="s">
        <v>1660</v>
      </c>
      <c r="Q256" s="10">
        <v>15</v>
      </c>
      <c r="W256" s="44">
        <f>Q256*X256</f>
        <v>1530</v>
      </c>
      <c r="X256" s="44">
        <f>12*Z256</f>
        <v>102</v>
      </c>
      <c r="Z256" s="22">
        <f>8+10/20</f>
        <v>8.5</v>
      </c>
      <c r="AE256">
        <v>127</v>
      </c>
      <c r="AF256">
        <v>10</v>
      </c>
      <c r="AG256">
        <v>0</v>
      </c>
      <c r="AH256" s="22">
        <f>AE256+AF256/20+AG256/240</f>
        <v>127.5</v>
      </c>
      <c r="AI256">
        <v>8</v>
      </c>
      <c r="AJ256">
        <v>10</v>
      </c>
      <c r="AK256">
        <v>0</v>
      </c>
      <c r="AL256" s="22">
        <f>Z256*1</f>
        <v>8.5</v>
      </c>
      <c r="BY256" s="44">
        <f>W256+(BQ256*12*Q256)+BV256</f>
        <v>1530</v>
      </c>
      <c r="BZ256" s="44">
        <f>BY256/Q256</f>
        <v>102</v>
      </c>
      <c r="CL256">
        <f>A256*1</f>
        <v>1470</v>
      </c>
      <c r="CM256" s="2" t="s">
        <v>582</v>
      </c>
    </row>
    <row r="257" spans="1:91" ht="12.75">
      <c r="A257" s="18">
        <v>1470</v>
      </c>
      <c r="B257" s="14" t="s">
        <v>1117</v>
      </c>
      <c r="C257" s="14" t="s">
        <v>644</v>
      </c>
      <c r="D257" s="14" t="s">
        <v>235</v>
      </c>
      <c r="E257" s="14" t="s">
        <v>373</v>
      </c>
      <c r="F257" s="32" t="s">
        <v>316</v>
      </c>
      <c r="G257" s="2">
        <v>1</v>
      </c>
      <c r="H257" s="2" t="s">
        <v>5</v>
      </c>
      <c r="I257" s="10">
        <v>6</v>
      </c>
      <c r="J257" s="22">
        <v>2.8</v>
      </c>
      <c r="K257" s="2" t="s">
        <v>7</v>
      </c>
      <c r="L257" s="14" t="s">
        <v>415</v>
      </c>
      <c r="M257" s="2" t="s">
        <v>1617</v>
      </c>
      <c r="N257" s="14" t="s">
        <v>1595</v>
      </c>
      <c r="O257" s="14" t="s">
        <v>1611</v>
      </c>
      <c r="P257" s="2" t="s">
        <v>1135</v>
      </c>
      <c r="Q257" s="10">
        <v>6</v>
      </c>
      <c r="W257" s="44">
        <f>Q257*X257</f>
        <v>201.59999999999997</v>
      </c>
      <c r="X257" s="44">
        <f>12*Z257</f>
        <v>33.599999999999994</v>
      </c>
      <c r="Z257" s="22">
        <f>2+16/20</f>
        <v>2.8</v>
      </c>
      <c r="AH257" s="22">
        <f>Z257*Q257</f>
        <v>16.799999999999997</v>
      </c>
      <c r="AI257">
        <v>2</v>
      </c>
      <c r="AJ257">
        <v>16</v>
      </c>
      <c r="AK257">
        <v>0</v>
      </c>
      <c r="AL257" s="22">
        <f>Z257*1</f>
        <v>2.8</v>
      </c>
      <c r="BF257" s="22">
        <v>2.8</v>
      </c>
      <c r="BI257" s="22">
        <v>2.8</v>
      </c>
      <c r="BY257" s="44">
        <f>W257+(BQ257*12*Q257)+BV257</f>
        <v>201.59999999999997</v>
      </c>
      <c r="BZ257" s="44">
        <f>BY257/Q257</f>
        <v>33.599999999999994</v>
      </c>
      <c r="CL257">
        <f>A257*1</f>
        <v>1470</v>
      </c>
      <c r="CM257" s="2" t="s">
        <v>1617</v>
      </c>
    </row>
    <row r="258" spans="1:91" ht="12.75">
      <c r="A258" s="18">
        <v>1470</v>
      </c>
      <c r="B258" s="14" t="s">
        <v>1117</v>
      </c>
      <c r="C258" s="14" t="s">
        <v>644</v>
      </c>
      <c r="D258" s="14" t="s">
        <v>235</v>
      </c>
      <c r="E258" s="14" t="s">
        <v>373</v>
      </c>
      <c r="F258" s="32" t="s">
        <v>317</v>
      </c>
      <c r="G258" s="2">
        <v>1</v>
      </c>
      <c r="H258" s="2" t="s">
        <v>5</v>
      </c>
      <c r="I258" s="10">
        <v>2</v>
      </c>
      <c r="J258" s="22">
        <v>2.85</v>
      </c>
      <c r="K258" s="2" t="s">
        <v>1503</v>
      </c>
      <c r="L258" s="14" t="s">
        <v>1414</v>
      </c>
      <c r="M258" s="2" t="s">
        <v>1493</v>
      </c>
      <c r="N258" s="14" t="s">
        <v>1595</v>
      </c>
      <c r="O258" s="14" t="s">
        <v>1611</v>
      </c>
      <c r="P258" s="2" t="s">
        <v>1135</v>
      </c>
      <c r="Q258" s="10">
        <v>2</v>
      </c>
      <c r="W258" s="44">
        <f>Q258*X258</f>
        <v>68.4</v>
      </c>
      <c r="X258" s="44">
        <f>12*Z258</f>
        <v>34.2</v>
      </c>
      <c r="Z258" s="22">
        <f>2+17/20</f>
        <v>2.85</v>
      </c>
      <c r="AH258" s="22">
        <f>Z258*Q258</f>
        <v>5.7</v>
      </c>
      <c r="AI258">
        <v>2</v>
      </c>
      <c r="AJ258">
        <v>17</v>
      </c>
      <c r="AK258">
        <v>0</v>
      </c>
      <c r="AL258" s="22">
        <f>Z258*1</f>
        <v>2.85</v>
      </c>
      <c r="AN258" s="22">
        <v>2.85</v>
      </c>
      <c r="BY258" s="44">
        <f>W258+(BQ258*12*Q258)+BV258</f>
        <v>68.4</v>
      </c>
      <c r="BZ258" s="44">
        <f>BY258/Q258</f>
        <v>34.2</v>
      </c>
      <c r="CL258">
        <f>A258*1</f>
        <v>1470</v>
      </c>
      <c r="CM258" s="2" t="s">
        <v>1493</v>
      </c>
    </row>
    <row r="259" spans="1:92" ht="12.75">
      <c r="A259" s="18">
        <v>1470</v>
      </c>
      <c r="B259" s="14" t="s">
        <v>1117</v>
      </c>
      <c r="C259" s="14" t="s">
        <v>644</v>
      </c>
      <c r="D259" s="14" t="s">
        <v>235</v>
      </c>
      <c r="E259" s="14" t="s">
        <v>373</v>
      </c>
      <c r="F259" s="32" t="s">
        <v>318</v>
      </c>
      <c r="G259" s="2">
        <v>1</v>
      </c>
      <c r="H259" s="2" t="s">
        <v>1202</v>
      </c>
      <c r="I259" s="10">
        <v>2</v>
      </c>
      <c r="J259" s="22">
        <v>1.9432291666666668</v>
      </c>
      <c r="K259" s="2" t="s">
        <v>1734</v>
      </c>
      <c r="L259" s="14" t="s">
        <v>415</v>
      </c>
      <c r="M259" s="2" t="s">
        <v>1203</v>
      </c>
      <c r="N259" s="14" t="s">
        <v>1201</v>
      </c>
      <c r="O259" s="14" t="s">
        <v>437</v>
      </c>
      <c r="P259" s="2" t="s">
        <v>743</v>
      </c>
      <c r="Q259" s="10">
        <v>2</v>
      </c>
      <c r="S259" s="10">
        <f>133.25/2</f>
        <v>66.625</v>
      </c>
      <c r="W259" s="44">
        <f>(S259*Y259)/20</f>
        <v>46.6375</v>
      </c>
      <c r="X259" s="44">
        <f>W259/Q259</f>
        <v>23.31875</v>
      </c>
      <c r="Y259" s="22">
        <v>14</v>
      </c>
      <c r="Z259" s="22">
        <f>X259/12</f>
        <v>1.9432291666666668</v>
      </c>
      <c r="AH259" s="22">
        <f>Z259*Q259</f>
        <v>3.8864583333333336</v>
      </c>
      <c r="AI259">
        <v>1</v>
      </c>
      <c r="AJ259">
        <v>18</v>
      </c>
      <c r="AK259">
        <v>10</v>
      </c>
      <c r="AL259" s="22">
        <f>Z259*1</f>
        <v>1.9432291666666668</v>
      </c>
      <c r="BI259" s="22">
        <v>1.9432291666666668</v>
      </c>
      <c r="BY259" s="44">
        <f>W259+(BQ259*12*Q259)+BV259</f>
        <v>46.6375</v>
      </c>
      <c r="BZ259" s="44">
        <f>BY259/Q259</f>
        <v>23.31875</v>
      </c>
      <c r="CL259">
        <f>A259*1</f>
        <v>1470</v>
      </c>
      <c r="CM259" s="2" t="s">
        <v>1203</v>
      </c>
      <c r="CN259" t="s">
        <v>70</v>
      </c>
    </row>
    <row r="260" spans="1:92" ht="12.75">
      <c r="A260" s="18">
        <v>1470</v>
      </c>
      <c r="B260" s="14" t="s">
        <v>1117</v>
      </c>
      <c r="C260" s="14" t="s">
        <v>644</v>
      </c>
      <c r="D260" s="14" t="s">
        <v>235</v>
      </c>
      <c r="E260" s="14" t="s">
        <v>373</v>
      </c>
      <c r="F260" s="32" t="s">
        <v>319</v>
      </c>
      <c r="G260" s="2">
        <v>1</v>
      </c>
      <c r="H260" s="2" t="s">
        <v>1202</v>
      </c>
      <c r="I260" s="10">
        <v>2</v>
      </c>
      <c r="J260" s="22">
        <v>1.9432291666666668</v>
      </c>
      <c r="K260" s="2" t="s">
        <v>1279</v>
      </c>
      <c r="L260" s="14" t="s">
        <v>415</v>
      </c>
      <c r="M260" s="2" t="s">
        <v>1210</v>
      </c>
      <c r="N260" s="14" t="s">
        <v>1201</v>
      </c>
      <c r="O260" s="14" t="s">
        <v>1269</v>
      </c>
      <c r="P260" s="2" t="s">
        <v>743</v>
      </c>
      <c r="Q260" s="10">
        <v>2</v>
      </c>
      <c r="S260" s="10">
        <v>66.625</v>
      </c>
      <c r="W260" s="44">
        <f>(S260*Y260)/20</f>
        <v>46.6375</v>
      </c>
      <c r="X260" s="44">
        <f>W260/Q260</f>
        <v>23.31875</v>
      </c>
      <c r="Y260" s="22">
        <v>14</v>
      </c>
      <c r="Z260" s="22">
        <f>X260/12</f>
        <v>1.9432291666666668</v>
      </c>
      <c r="AH260" s="22">
        <f>Z260*Q260</f>
        <v>3.8864583333333336</v>
      </c>
      <c r="AI260">
        <v>1</v>
      </c>
      <c r="AJ260">
        <v>18</v>
      </c>
      <c r="AK260">
        <v>10</v>
      </c>
      <c r="AL260" s="22">
        <f>Z260*1</f>
        <v>1.9432291666666668</v>
      </c>
      <c r="BI260" s="22">
        <v>1.9432291666666668</v>
      </c>
      <c r="BY260" s="44">
        <f>W260+(BQ260*12*Q260)+BV260</f>
        <v>46.6375</v>
      </c>
      <c r="BZ260" s="44">
        <f>BY260/Q260</f>
        <v>23.31875</v>
      </c>
      <c r="CL260">
        <f>A260*1</f>
        <v>1470</v>
      </c>
      <c r="CM260" s="2" t="s">
        <v>1210</v>
      </c>
      <c r="CN260" t="s">
        <v>1183</v>
      </c>
    </row>
    <row r="261" spans="1:13" ht="12.75">
      <c r="A261" s="18"/>
      <c r="E261" s="14"/>
      <c r="M261" s="2"/>
    </row>
    <row r="262" spans="1:91" ht="12.75">
      <c r="A262" s="18">
        <v>1470</v>
      </c>
      <c r="B262" s="14" t="s">
        <v>1117</v>
      </c>
      <c r="C262" s="14" t="s">
        <v>644</v>
      </c>
      <c r="D262" s="14" t="s">
        <v>235</v>
      </c>
      <c r="E262" s="14" t="s">
        <v>373</v>
      </c>
      <c r="F262" s="32" t="s">
        <v>320</v>
      </c>
      <c r="G262" s="2">
        <v>2</v>
      </c>
      <c r="H262" s="2" t="s">
        <v>758</v>
      </c>
      <c r="I262" s="10">
        <v>6</v>
      </c>
      <c r="J262" s="22">
        <v>0.5750000000000001</v>
      </c>
      <c r="K262" s="2" t="s">
        <v>756</v>
      </c>
      <c r="L262" s="14" t="s">
        <v>415</v>
      </c>
      <c r="M262" s="2" t="s">
        <v>760</v>
      </c>
      <c r="N262" s="14" t="s">
        <v>772</v>
      </c>
      <c r="O262" s="14" t="s">
        <v>5</v>
      </c>
      <c r="P262" s="2" t="s">
        <v>743</v>
      </c>
      <c r="Q262" s="10">
        <v>6</v>
      </c>
      <c r="W262" s="44">
        <f>Q262*X262</f>
        <v>41.400000000000006</v>
      </c>
      <c r="X262" s="44">
        <f>12*Z262</f>
        <v>6.9</v>
      </c>
      <c r="Z262" s="22">
        <f>11/20+6/240</f>
        <v>0.5750000000000001</v>
      </c>
      <c r="AH262" s="22">
        <f>Z262*Q262</f>
        <v>3.45</v>
      </c>
      <c r="AJ262">
        <v>11</v>
      </c>
      <c r="AK262">
        <v>6</v>
      </c>
      <c r="AL262" s="22">
        <f>Z262*1</f>
        <v>0.5750000000000001</v>
      </c>
      <c r="BI262" s="22">
        <v>0.575</v>
      </c>
      <c r="BY262" s="44">
        <f>W262+(BQ262*12*Q262)+BV262</f>
        <v>41.400000000000006</v>
      </c>
      <c r="BZ262" s="44">
        <f>BY262/Q262</f>
        <v>6.900000000000001</v>
      </c>
      <c r="CL262">
        <f>A262*1</f>
        <v>1470</v>
      </c>
      <c r="CM262" s="2" t="s">
        <v>760</v>
      </c>
    </row>
    <row r="263" spans="1:91" ht="12.75">
      <c r="A263" s="18">
        <v>1470</v>
      </c>
      <c r="B263" s="14" t="s">
        <v>1117</v>
      </c>
      <c r="C263" s="14" t="s">
        <v>644</v>
      </c>
      <c r="D263" s="14" t="s">
        <v>235</v>
      </c>
      <c r="E263" s="14" t="s">
        <v>373</v>
      </c>
      <c r="F263" s="32" t="s">
        <v>321</v>
      </c>
      <c r="G263" s="2">
        <v>2</v>
      </c>
      <c r="H263" s="2" t="s">
        <v>5</v>
      </c>
      <c r="I263" s="10">
        <v>2.5</v>
      </c>
      <c r="J263" s="22">
        <v>2.5</v>
      </c>
      <c r="K263" s="2" t="s">
        <v>1627</v>
      </c>
      <c r="L263" s="14" t="s">
        <v>415</v>
      </c>
      <c r="M263" s="2" t="s">
        <v>1618</v>
      </c>
      <c r="N263" s="14" t="s">
        <v>1595</v>
      </c>
      <c r="O263" s="14" t="s">
        <v>1611</v>
      </c>
      <c r="P263" s="2" t="s">
        <v>1435</v>
      </c>
      <c r="Q263" s="10">
        <v>2.5</v>
      </c>
      <c r="W263" s="44">
        <f>Q263*X263</f>
        <v>75</v>
      </c>
      <c r="X263" s="44">
        <f>12*Z263</f>
        <v>30</v>
      </c>
      <c r="Z263" s="22">
        <f>2+10/20</f>
        <v>2.5</v>
      </c>
      <c r="AH263" s="22">
        <f>Z263*Q263</f>
        <v>6.25</v>
      </c>
      <c r="AI263">
        <v>2</v>
      </c>
      <c r="AJ263">
        <v>10</v>
      </c>
      <c r="AK263">
        <v>0</v>
      </c>
      <c r="AL263" s="22">
        <f>Z263*1</f>
        <v>2.5</v>
      </c>
      <c r="BF263" s="22">
        <v>2.5</v>
      </c>
      <c r="BI263" s="22">
        <v>2.5</v>
      </c>
      <c r="BY263" s="44">
        <f>W263+(BQ263*12*Q263)+BV263</f>
        <v>75</v>
      </c>
      <c r="BZ263" s="44">
        <f>BY263/Q263</f>
        <v>30</v>
      </c>
      <c r="CL263">
        <f>A263*1</f>
        <v>1470</v>
      </c>
      <c r="CM263" s="2" t="s">
        <v>1618</v>
      </c>
    </row>
    <row r="264" spans="1:78" ht="12.75">
      <c r="A264" s="18"/>
      <c r="E264" s="14"/>
      <c r="J264" s="22"/>
      <c r="M264" s="2"/>
      <c r="AL264" s="22"/>
      <c r="BY264" s="44"/>
      <c r="BZ264" s="44"/>
    </row>
    <row r="265" spans="1:91" ht="12.75">
      <c r="A265" s="18">
        <v>1470</v>
      </c>
      <c r="B265" s="14" t="s">
        <v>1239</v>
      </c>
      <c r="C265" s="14" t="s">
        <v>644</v>
      </c>
      <c r="D265" s="14" t="s">
        <v>236</v>
      </c>
      <c r="E265" s="14" t="s">
        <v>371</v>
      </c>
      <c r="F265" s="32" t="s">
        <v>322</v>
      </c>
      <c r="G265" s="2"/>
      <c r="H265" s="2" t="s">
        <v>537</v>
      </c>
      <c r="I265" s="10">
        <v>9</v>
      </c>
      <c r="J265" s="22">
        <v>5.5</v>
      </c>
      <c r="K265" s="2" t="s">
        <v>805</v>
      </c>
      <c r="L265" s="14" t="s">
        <v>415</v>
      </c>
      <c r="M265" s="2" t="s">
        <v>568</v>
      </c>
      <c r="N265" s="14" t="s">
        <v>509</v>
      </c>
      <c r="O265" s="14" t="s">
        <v>906</v>
      </c>
      <c r="P265" s="2" t="s">
        <v>1660</v>
      </c>
      <c r="Q265" s="10">
        <v>9</v>
      </c>
      <c r="W265" s="44">
        <f>Q265*X265</f>
        <v>594</v>
      </c>
      <c r="X265" s="44">
        <f>12*Z265</f>
        <v>66</v>
      </c>
      <c r="Z265" s="22">
        <f>5+10/20</f>
        <v>5.5</v>
      </c>
      <c r="AH265" s="22">
        <f>Z265*Q265</f>
        <v>49.5</v>
      </c>
      <c r="AI265">
        <v>5</v>
      </c>
      <c r="AJ265">
        <v>10</v>
      </c>
      <c r="AK265">
        <v>0</v>
      </c>
      <c r="AL265" s="22">
        <f>Z265*1</f>
        <v>5.5</v>
      </c>
      <c r="BY265" s="44">
        <f>W265+(BQ265*12*Q265)+BV265</f>
        <v>594</v>
      </c>
      <c r="BZ265" s="44">
        <f>BY265/Q265</f>
        <v>66</v>
      </c>
      <c r="CL265">
        <f>A265*1</f>
        <v>1470</v>
      </c>
      <c r="CM265" s="2" t="s">
        <v>568</v>
      </c>
    </row>
    <row r="266" spans="1:91" ht="12.75">
      <c r="A266" s="18">
        <v>1470</v>
      </c>
      <c r="B266" s="14" t="s">
        <v>1239</v>
      </c>
      <c r="C266" s="14" t="s">
        <v>644</v>
      </c>
      <c r="D266" s="14" t="s">
        <v>236</v>
      </c>
      <c r="E266" s="14" t="s">
        <v>371</v>
      </c>
      <c r="F266" s="32" t="s">
        <v>323</v>
      </c>
      <c r="G266" s="2"/>
      <c r="H266" s="2" t="s">
        <v>5</v>
      </c>
      <c r="I266" s="10">
        <v>1</v>
      </c>
      <c r="J266" s="22">
        <v>7</v>
      </c>
      <c r="K266" s="2" t="s">
        <v>1730</v>
      </c>
      <c r="L266" s="14" t="s">
        <v>415</v>
      </c>
      <c r="M266" s="2" t="s">
        <v>480</v>
      </c>
      <c r="N266" s="14" t="s">
        <v>1511</v>
      </c>
      <c r="O266" s="14" t="s">
        <v>437</v>
      </c>
      <c r="P266" s="2" t="s">
        <v>1660</v>
      </c>
      <c r="Q266" s="10">
        <v>1</v>
      </c>
      <c r="W266" s="44">
        <f>Q266*X266</f>
        <v>84</v>
      </c>
      <c r="X266" s="44">
        <f>12*Z266</f>
        <v>84</v>
      </c>
      <c r="Z266" s="22">
        <v>7</v>
      </c>
      <c r="AE266">
        <v>7</v>
      </c>
      <c r="AF266">
        <v>0</v>
      </c>
      <c r="AG266">
        <v>0</v>
      </c>
      <c r="AH266" s="22">
        <f>Z266*Q266</f>
        <v>7</v>
      </c>
      <c r="AI266">
        <v>7</v>
      </c>
      <c r="AJ266">
        <v>0</v>
      </c>
      <c r="AK266">
        <v>0</v>
      </c>
      <c r="AL266" s="22">
        <f>Z266*1</f>
        <v>7</v>
      </c>
      <c r="BY266" s="44">
        <f>W266+(BQ266*12*Q266)+BV266</f>
        <v>84</v>
      </c>
      <c r="BZ266" s="44">
        <f>BY266/Q266</f>
        <v>84</v>
      </c>
      <c r="CL266">
        <f>A266*1</f>
        <v>1470</v>
      </c>
      <c r="CM266" s="2" t="s">
        <v>480</v>
      </c>
    </row>
    <row r="267" spans="1:92" ht="12.75">
      <c r="A267" s="18">
        <v>1470</v>
      </c>
      <c r="B267" s="14" t="s">
        <v>1239</v>
      </c>
      <c r="C267" s="14" t="s">
        <v>644</v>
      </c>
      <c r="D267" s="14" t="s">
        <v>236</v>
      </c>
      <c r="E267" s="14" t="s">
        <v>371</v>
      </c>
      <c r="F267" s="32" t="s">
        <v>324</v>
      </c>
      <c r="G267" s="2"/>
      <c r="H267" s="2" t="s">
        <v>5</v>
      </c>
      <c r="I267" s="10">
        <v>1</v>
      </c>
      <c r="J267" s="22">
        <v>7</v>
      </c>
      <c r="K267" s="2" t="s">
        <v>799</v>
      </c>
      <c r="L267" s="14" t="s">
        <v>415</v>
      </c>
      <c r="M267" s="2" t="s">
        <v>817</v>
      </c>
      <c r="N267" s="14" t="s">
        <v>1511</v>
      </c>
      <c r="O267" s="14" t="s">
        <v>437</v>
      </c>
      <c r="P267" s="2" t="s">
        <v>1660</v>
      </c>
      <c r="Q267" s="10">
        <v>1</v>
      </c>
      <c r="W267" s="44">
        <f>Q267*X267</f>
        <v>84</v>
      </c>
      <c r="X267" s="44">
        <f>12*Z267</f>
        <v>84</v>
      </c>
      <c r="Z267" s="22">
        <v>7</v>
      </c>
      <c r="AE267">
        <v>7</v>
      </c>
      <c r="AF267">
        <v>0</v>
      </c>
      <c r="AG267">
        <v>0</v>
      </c>
      <c r="AH267" s="22">
        <f>Z267*Q267</f>
        <v>7</v>
      </c>
      <c r="AI267">
        <v>7</v>
      </c>
      <c r="AJ267">
        <v>0</v>
      </c>
      <c r="AK267">
        <v>0</v>
      </c>
      <c r="AL267" s="22">
        <f>Z267*1</f>
        <v>7</v>
      </c>
      <c r="BQ267" s="22">
        <f>26/20/2</f>
        <v>0.65</v>
      </c>
      <c r="BR267" s="34">
        <f>Z267+BQ267</f>
        <v>7.65</v>
      </c>
      <c r="BS267" s="37"/>
      <c r="BT267" s="37"/>
      <c r="BU267" s="20">
        <f>BQ267/BR267</f>
        <v>0.08496732026143791</v>
      </c>
      <c r="BY267" s="44">
        <f>W267+(BQ267*12*Q267)+BV267</f>
        <v>91.8</v>
      </c>
      <c r="BZ267" s="44">
        <f>BY267/Q267</f>
        <v>91.8</v>
      </c>
      <c r="CL267">
        <f>A267*1</f>
        <v>1470</v>
      </c>
      <c r="CM267" s="2" t="s">
        <v>817</v>
      </c>
      <c r="CN267" t="s">
        <v>44</v>
      </c>
    </row>
    <row r="268" spans="1:91" ht="12.75">
      <c r="A268" s="18">
        <v>1470</v>
      </c>
      <c r="B268" s="14" t="s">
        <v>1239</v>
      </c>
      <c r="C268" s="14" t="s">
        <v>644</v>
      </c>
      <c r="D268" s="14" t="s">
        <v>236</v>
      </c>
      <c r="E268" s="14" t="s">
        <v>371</v>
      </c>
      <c r="F268" s="32" t="s">
        <v>325</v>
      </c>
      <c r="G268" s="2"/>
      <c r="H268" s="2" t="s">
        <v>5</v>
      </c>
      <c r="I268" s="10">
        <v>2</v>
      </c>
      <c r="J268" s="22">
        <v>6.8</v>
      </c>
      <c r="K268" s="2" t="s">
        <v>1728</v>
      </c>
      <c r="L268" s="14" t="s">
        <v>415</v>
      </c>
      <c r="M268" s="2" t="s">
        <v>480</v>
      </c>
      <c r="N268" s="14" t="s">
        <v>1511</v>
      </c>
      <c r="O268" s="14" t="s">
        <v>437</v>
      </c>
      <c r="P268" s="2" t="s">
        <v>1660</v>
      </c>
      <c r="Q268" s="10">
        <v>2</v>
      </c>
      <c r="W268" s="44">
        <f>Q268*X268</f>
        <v>163.2</v>
      </c>
      <c r="X268" s="44">
        <f>12*Z268</f>
        <v>81.6</v>
      </c>
      <c r="Z268" s="22">
        <f>6+16/20</f>
        <v>6.8</v>
      </c>
      <c r="AH268" s="22">
        <f>Z268*Q268</f>
        <v>13.6</v>
      </c>
      <c r="AI268">
        <v>6</v>
      </c>
      <c r="AJ268">
        <v>16</v>
      </c>
      <c r="AK268">
        <v>0</v>
      </c>
      <c r="AL268" s="22">
        <f>Z268*1</f>
        <v>6.8</v>
      </c>
      <c r="BR268" s="34"/>
      <c r="BS268" s="37"/>
      <c r="BT268" s="37"/>
      <c r="BU268" s="20"/>
      <c r="BY268" s="44">
        <f>W268+(BQ268*12*Q268)+BV268</f>
        <v>163.2</v>
      </c>
      <c r="BZ268" s="44">
        <f>BY268/Q268</f>
        <v>81.6</v>
      </c>
      <c r="CL268">
        <f>A268*1</f>
        <v>1470</v>
      </c>
      <c r="CM268" s="2" t="s">
        <v>480</v>
      </c>
    </row>
    <row r="269" spans="1:91" ht="12.75">
      <c r="A269" s="18">
        <v>1470</v>
      </c>
      <c r="B269" s="14" t="s">
        <v>1239</v>
      </c>
      <c r="C269" s="14" t="s">
        <v>644</v>
      </c>
      <c r="D269" s="14" t="s">
        <v>236</v>
      </c>
      <c r="E269" s="14" t="s">
        <v>371</v>
      </c>
      <c r="F269" s="32" t="s">
        <v>326</v>
      </c>
      <c r="G269" s="2"/>
      <c r="H269" s="2" t="s">
        <v>5</v>
      </c>
      <c r="I269" s="10">
        <v>1</v>
      </c>
      <c r="J269" s="22">
        <v>6.6</v>
      </c>
      <c r="K269" s="2" t="s">
        <v>482</v>
      </c>
      <c r="L269" s="14" t="s">
        <v>415</v>
      </c>
      <c r="M269" s="2" t="s">
        <v>498</v>
      </c>
      <c r="N269" s="14" t="s">
        <v>1511</v>
      </c>
      <c r="O269" s="14" t="s">
        <v>437</v>
      </c>
      <c r="P269" s="2" t="s">
        <v>1660</v>
      </c>
      <c r="Q269" s="10">
        <v>1</v>
      </c>
      <c r="W269" s="44">
        <f>Q269*X269</f>
        <v>79.19999999999999</v>
      </c>
      <c r="X269" s="44">
        <f>12*Z269</f>
        <v>79.19999999999999</v>
      </c>
      <c r="Z269" s="22">
        <f>6+12/20</f>
        <v>6.6</v>
      </c>
      <c r="AE269">
        <v>6</v>
      </c>
      <c r="AF269">
        <v>12</v>
      </c>
      <c r="AG269">
        <v>0</v>
      </c>
      <c r="AH269" s="22">
        <f>Z269*Q269</f>
        <v>6.6</v>
      </c>
      <c r="AI269">
        <v>6</v>
      </c>
      <c r="AJ269">
        <v>12</v>
      </c>
      <c r="AK269">
        <v>0</v>
      </c>
      <c r="AL269" s="22">
        <f>Z269*1</f>
        <v>6.6</v>
      </c>
      <c r="BQ269" s="22">
        <f>26/20/2</f>
        <v>0.65</v>
      </c>
      <c r="BR269" s="34">
        <f>Z269+BQ269</f>
        <v>7.25</v>
      </c>
      <c r="BS269" s="37"/>
      <c r="BT269" s="37"/>
      <c r="BU269" s="20">
        <f>BQ269/BR269</f>
        <v>0.0896551724137931</v>
      </c>
      <c r="BY269" s="44">
        <f>W269+(BQ269*12*Q269)+BV269</f>
        <v>86.99999999999999</v>
      </c>
      <c r="BZ269" s="44">
        <f>BY269/Q269</f>
        <v>86.99999999999999</v>
      </c>
      <c r="CL269">
        <f>A269*1</f>
        <v>1470</v>
      </c>
      <c r="CM269" s="2" t="s">
        <v>498</v>
      </c>
    </row>
    <row r="271" spans="1:92" ht="12.75">
      <c r="A271" s="18">
        <v>1471</v>
      </c>
      <c r="B271" s="14" t="s">
        <v>1117</v>
      </c>
      <c r="C271" s="14" t="s">
        <v>644</v>
      </c>
      <c r="D271" s="14" t="s">
        <v>236</v>
      </c>
      <c r="E271" s="14" t="s">
        <v>372</v>
      </c>
      <c r="F271" s="32" t="s">
        <v>327</v>
      </c>
      <c r="G271" s="2">
        <v>1</v>
      </c>
      <c r="H271" s="2" t="s">
        <v>5</v>
      </c>
      <c r="I271" s="10">
        <v>10</v>
      </c>
      <c r="J271" s="22">
        <v>8.5</v>
      </c>
      <c r="K271" s="2" t="s">
        <v>807</v>
      </c>
      <c r="L271" s="14" t="s">
        <v>415</v>
      </c>
      <c r="M271" s="2" t="s">
        <v>819</v>
      </c>
      <c r="N271" s="14" t="s">
        <v>1595</v>
      </c>
      <c r="O271" s="14" t="s">
        <v>1269</v>
      </c>
      <c r="P271" s="2" t="s">
        <v>618</v>
      </c>
      <c r="Q271" s="10">
        <v>10</v>
      </c>
      <c r="W271" s="44">
        <f>Q271*X271</f>
        <v>1020</v>
      </c>
      <c r="X271" s="44">
        <f>12*Z271</f>
        <v>102</v>
      </c>
      <c r="Z271" s="22">
        <f>8+10/20</f>
        <v>8.5</v>
      </c>
      <c r="AH271" s="22">
        <f aca="true" t="shared" si="70" ref="AH271:AH276">Z271*Q271</f>
        <v>85</v>
      </c>
      <c r="AI271">
        <v>8</v>
      </c>
      <c r="AJ271">
        <v>10</v>
      </c>
      <c r="AK271">
        <v>0</v>
      </c>
      <c r="AL271" s="22">
        <f aca="true" t="shared" si="71" ref="AL271:AL276">Z271*1</f>
        <v>8.5</v>
      </c>
      <c r="BO271" s="22">
        <f>1/15</f>
        <v>0.06666666666666667</v>
      </c>
      <c r="BQ271" s="22">
        <f>BN271+BO271+BP271</f>
        <v>0.06666666666666667</v>
      </c>
      <c r="BR271" s="22">
        <f>Z271+BQ271</f>
        <v>8.566666666666666</v>
      </c>
      <c r="BT271" s="37">
        <f>BO271/BR271</f>
        <v>0.007782101167315175</v>
      </c>
      <c r="BU271" s="37">
        <f>BQ271/BR271</f>
        <v>0.007782101167315175</v>
      </c>
      <c r="BY271" s="44">
        <f aca="true" t="shared" si="72" ref="BY271:BY276">W271+(BQ271*12*Q271)+BV271</f>
        <v>1028</v>
      </c>
      <c r="BZ271" s="44">
        <f aca="true" t="shared" si="73" ref="BZ271:BZ276">BY271/Q271</f>
        <v>102.8</v>
      </c>
      <c r="CL271">
        <f aca="true" t="shared" si="74" ref="CL271:CL276">A271*1</f>
        <v>1471</v>
      </c>
      <c r="CM271" s="2" t="s">
        <v>819</v>
      </c>
      <c r="CN271" t="s">
        <v>1182</v>
      </c>
    </row>
    <row r="272" spans="1:91" ht="12.75">
      <c r="A272" s="18">
        <v>1471</v>
      </c>
      <c r="B272" s="14" t="s">
        <v>1117</v>
      </c>
      <c r="C272" s="14" t="s">
        <v>644</v>
      </c>
      <c r="D272" s="14" t="s">
        <v>236</v>
      </c>
      <c r="E272" s="14" t="s">
        <v>372</v>
      </c>
      <c r="F272" s="32" t="s">
        <v>328</v>
      </c>
      <c r="G272" s="2">
        <v>1</v>
      </c>
      <c r="H272" s="2" t="s">
        <v>537</v>
      </c>
      <c r="I272" s="10">
        <v>5</v>
      </c>
      <c r="J272" s="22">
        <v>8.5</v>
      </c>
      <c r="K272" s="2" t="s">
        <v>1003</v>
      </c>
      <c r="L272" s="14" t="s">
        <v>415</v>
      </c>
      <c r="M272" s="2" t="s">
        <v>584</v>
      </c>
      <c r="N272" s="14" t="s">
        <v>509</v>
      </c>
      <c r="O272" s="14" t="s">
        <v>897</v>
      </c>
      <c r="P272" s="2" t="s">
        <v>618</v>
      </c>
      <c r="Q272" s="10">
        <v>5</v>
      </c>
      <c r="W272" s="44">
        <f>Q272*X272</f>
        <v>510</v>
      </c>
      <c r="X272" s="44">
        <f>12*Z272</f>
        <v>102</v>
      </c>
      <c r="Z272" s="22">
        <f>8+10/20</f>
        <v>8.5</v>
      </c>
      <c r="AH272" s="22">
        <f t="shared" si="70"/>
        <v>42.5</v>
      </c>
      <c r="AI272">
        <v>8</v>
      </c>
      <c r="AJ272">
        <v>10</v>
      </c>
      <c r="AK272">
        <v>0</v>
      </c>
      <c r="AL272" s="22">
        <f t="shared" si="71"/>
        <v>8.5</v>
      </c>
      <c r="BO272" s="22">
        <f>1/15</f>
        <v>0.06666666666666667</v>
      </c>
      <c r="BQ272" s="22">
        <f>BN272+BO272+BP272</f>
        <v>0.06666666666666667</v>
      </c>
      <c r="BR272" s="22">
        <f>Z272+BQ272</f>
        <v>8.566666666666666</v>
      </c>
      <c r="BT272" s="37">
        <f>BO272/BR272</f>
        <v>0.007782101167315175</v>
      </c>
      <c r="BU272" s="37">
        <f>BQ272/BR272</f>
        <v>0.007782101167315175</v>
      </c>
      <c r="BY272" s="44">
        <f t="shared" si="72"/>
        <v>514</v>
      </c>
      <c r="BZ272" s="44">
        <f t="shared" si="73"/>
        <v>102.8</v>
      </c>
      <c r="CL272">
        <f t="shared" si="74"/>
        <v>1471</v>
      </c>
      <c r="CM272" s="2" t="s">
        <v>584</v>
      </c>
    </row>
    <row r="273" spans="1:91" ht="12.75">
      <c r="A273" s="18">
        <v>1471</v>
      </c>
      <c r="B273" s="14" t="s">
        <v>1117</v>
      </c>
      <c r="C273" s="14" t="s">
        <v>644</v>
      </c>
      <c r="D273" s="14" t="s">
        <v>236</v>
      </c>
      <c r="E273" s="14" t="s">
        <v>372</v>
      </c>
      <c r="F273" s="32" t="s">
        <v>329</v>
      </c>
      <c r="G273" s="2">
        <v>1</v>
      </c>
      <c r="H273" s="2" t="s">
        <v>537</v>
      </c>
      <c r="I273" s="10">
        <v>7</v>
      </c>
      <c r="J273" s="22">
        <v>2.825</v>
      </c>
      <c r="K273" s="2" t="s">
        <v>1498</v>
      </c>
      <c r="L273" s="14" t="s">
        <v>1414</v>
      </c>
      <c r="M273" s="2" t="s">
        <v>594</v>
      </c>
      <c r="N273" s="14" t="s">
        <v>509</v>
      </c>
      <c r="O273" s="14" t="s">
        <v>906</v>
      </c>
      <c r="P273" s="2" t="s">
        <v>1134</v>
      </c>
      <c r="Q273" s="10">
        <v>7</v>
      </c>
      <c r="W273" s="44">
        <f>Q273*X273</f>
        <v>237.29999999999998</v>
      </c>
      <c r="X273" s="44">
        <f>12*Z273</f>
        <v>33.9</v>
      </c>
      <c r="Z273" s="22">
        <f>2+16/20+6/240</f>
        <v>2.8249999999999997</v>
      </c>
      <c r="AH273" s="22">
        <f t="shared" si="70"/>
        <v>19.775</v>
      </c>
      <c r="AI273">
        <v>2</v>
      </c>
      <c r="AJ273">
        <v>16</v>
      </c>
      <c r="AK273">
        <v>0</v>
      </c>
      <c r="AL273" s="22">
        <f t="shared" si="71"/>
        <v>2.8249999999999997</v>
      </c>
      <c r="AN273" s="22">
        <v>2.825</v>
      </c>
      <c r="BY273" s="44">
        <f t="shared" si="72"/>
        <v>237.29999999999998</v>
      </c>
      <c r="BZ273" s="44">
        <f t="shared" si="73"/>
        <v>33.9</v>
      </c>
      <c r="CL273">
        <f t="shared" si="74"/>
        <v>1471</v>
      </c>
      <c r="CM273" s="2" t="s">
        <v>594</v>
      </c>
    </row>
    <row r="274" spans="1:92" ht="12.75">
      <c r="A274" s="18">
        <v>1471</v>
      </c>
      <c r="B274" s="14" t="s">
        <v>1117</v>
      </c>
      <c r="C274" s="14" t="s">
        <v>644</v>
      </c>
      <c r="D274" s="14" t="s">
        <v>236</v>
      </c>
      <c r="E274" s="14" t="s">
        <v>372</v>
      </c>
      <c r="F274" s="32" t="s">
        <v>330</v>
      </c>
      <c r="G274" s="2">
        <v>1</v>
      </c>
      <c r="H274" s="2" t="s">
        <v>603</v>
      </c>
      <c r="I274" s="10">
        <v>3</v>
      </c>
      <c r="J274" s="22">
        <v>2.6</v>
      </c>
      <c r="K274" s="2" t="s">
        <v>1499</v>
      </c>
      <c r="L274" s="14" t="s">
        <v>1414</v>
      </c>
      <c r="M274" s="2" t="s">
        <v>6</v>
      </c>
      <c r="N274" s="14" t="s">
        <v>509</v>
      </c>
      <c r="O274" s="14" t="s">
        <v>906</v>
      </c>
      <c r="P274" s="2" t="s">
        <v>1133</v>
      </c>
      <c r="Q274" s="10">
        <v>3</v>
      </c>
      <c r="S274" s="10">
        <v>78</v>
      </c>
      <c r="W274" s="44">
        <f>Q274*X274</f>
        <v>93.60000000000001</v>
      </c>
      <c r="X274" s="44">
        <f>12*Z274</f>
        <v>31.200000000000003</v>
      </c>
      <c r="Y274" s="22">
        <v>24</v>
      </c>
      <c r="Z274" s="22">
        <f>2+12/20</f>
        <v>2.6</v>
      </c>
      <c r="AH274" s="22">
        <f t="shared" si="70"/>
        <v>7.800000000000001</v>
      </c>
      <c r="AI274">
        <v>2</v>
      </c>
      <c r="AJ274">
        <v>12</v>
      </c>
      <c r="AK274">
        <v>0</v>
      </c>
      <c r="AL274" s="22">
        <f t="shared" si="71"/>
        <v>2.6</v>
      </c>
      <c r="AM274" s="22">
        <v>2</v>
      </c>
      <c r="AN274" s="22">
        <v>2.6</v>
      </c>
      <c r="BY274" s="44">
        <f t="shared" si="72"/>
        <v>93.60000000000001</v>
      </c>
      <c r="BZ274" s="44">
        <f t="shared" si="73"/>
        <v>31.200000000000003</v>
      </c>
      <c r="CL274">
        <f t="shared" si="74"/>
        <v>1471</v>
      </c>
      <c r="CM274" s="2" t="s">
        <v>6</v>
      </c>
      <c r="CN274" t="s">
        <v>85</v>
      </c>
    </row>
    <row r="275" spans="1:92" ht="12.75">
      <c r="A275" s="18">
        <v>1471</v>
      </c>
      <c r="B275" s="14" t="s">
        <v>1117</v>
      </c>
      <c r="C275" s="14" t="s">
        <v>644</v>
      </c>
      <c r="D275" s="14" t="s">
        <v>236</v>
      </c>
      <c r="E275" s="14" t="s">
        <v>372</v>
      </c>
      <c r="F275" s="32" t="s">
        <v>331</v>
      </c>
      <c r="G275" s="2">
        <v>1</v>
      </c>
      <c r="H275" s="2" t="s">
        <v>1202</v>
      </c>
      <c r="I275" s="10">
        <v>2</v>
      </c>
      <c r="J275" s="22">
        <v>1.9600000000000002</v>
      </c>
      <c r="K275" s="2" t="s">
        <v>1731</v>
      </c>
      <c r="L275" s="14" t="s">
        <v>415</v>
      </c>
      <c r="M275" s="2" t="s">
        <v>1203</v>
      </c>
      <c r="N275" s="14" t="s">
        <v>1201</v>
      </c>
      <c r="O275" s="14" t="s">
        <v>437</v>
      </c>
      <c r="P275" s="2" t="s">
        <v>387</v>
      </c>
      <c r="Q275" s="10">
        <v>2</v>
      </c>
      <c r="S275" s="10">
        <f>168*(2/5)</f>
        <v>67.2</v>
      </c>
      <c r="W275" s="44">
        <f>(S275*Y275)/20</f>
        <v>47.040000000000006</v>
      </c>
      <c r="X275" s="44">
        <f>W275/Q275</f>
        <v>23.520000000000003</v>
      </c>
      <c r="Y275" s="22">
        <v>14</v>
      </c>
      <c r="Z275" s="22">
        <f>X275/12</f>
        <v>1.9600000000000002</v>
      </c>
      <c r="AH275" s="22">
        <f t="shared" si="70"/>
        <v>3.9200000000000004</v>
      </c>
      <c r="AI275">
        <v>1</v>
      </c>
      <c r="AJ275">
        <v>19</v>
      </c>
      <c r="AK275">
        <v>0</v>
      </c>
      <c r="AL275" s="22">
        <f t="shared" si="71"/>
        <v>1.9600000000000002</v>
      </c>
      <c r="BI275" s="22">
        <v>1.96</v>
      </c>
      <c r="BY275" s="44">
        <f t="shared" si="72"/>
        <v>47.040000000000006</v>
      </c>
      <c r="BZ275" s="44">
        <f t="shared" si="73"/>
        <v>23.520000000000003</v>
      </c>
      <c r="CL275">
        <f t="shared" si="74"/>
        <v>1471</v>
      </c>
      <c r="CM275" s="2" t="s">
        <v>1203</v>
      </c>
      <c r="CN275" t="s">
        <v>75</v>
      </c>
    </row>
    <row r="276" spans="1:91" ht="12.75">
      <c r="A276" s="18">
        <v>1471</v>
      </c>
      <c r="B276" s="14" t="s">
        <v>1117</v>
      </c>
      <c r="C276" s="14" t="s">
        <v>644</v>
      </c>
      <c r="D276" s="14" t="s">
        <v>236</v>
      </c>
      <c r="E276" s="14" t="s">
        <v>372</v>
      </c>
      <c r="F276" s="32" t="s">
        <v>332</v>
      </c>
      <c r="G276" s="2">
        <v>1</v>
      </c>
      <c r="H276" s="2" t="s">
        <v>1202</v>
      </c>
      <c r="I276" s="10">
        <v>3</v>
      </c>
      <c r="J276" s="22">
        <v>1.96</v>
      </c>
      <c r="K276" s="2" t="s">
        <v>1008</v>
      </c>
      <c r="L276" s="14" t="s">
        <v>415</v>
      </c>
      <c r="M276" s="2" t="s">
        <v>1207</v>
      </c>
      <c r="N276" s="14" t="s">
        <v>1201</v>
      </c>
      <c r="O276" s="14" t="s">
        <v>897</v>
      </c>
      <c r="P276" s="2" t="s">
        <v>387</v>
      </c>
      <c r="Q276" s="10">
        <v>3</v>
      </c>
      <c r="S276" s="10">
        <f>168*(3/5)</f>
        <v>100.8</v>
      </c>
      <c r="W276" s="44">
        <f>(S276*Y276)/20</f>
        <v>70.56</v>
      </c>
      <c r="X276" s="44">
        <f>W276/Q276</f>
        <v>23.52</v>
      </c>
      <c r="Y276" s="22">
        <v>14</v>
      </c>
      <c r="Z276" s="22">
        <f>X276/12</f>
        <v>1.96</v>
      </c>
      <c r="AH276" s="22">
        <f t="shared" si="70"/>
        <v>5.88</v>
      </c>
      <c r="AI276">
        <v>1</v>
      </c>
      <c r="AJ276">
        <v>19</v>
      </c>
      <c r="AK276">
        <v>0</v>
      </c>
      <c r="AL276" s="22">
        <f t="shared" si="71"/>
        <v>1.96</v>
      </c>
      <c r="BI276" s="22">
        <v>1.96</v>
      </c>
      <c r="BY276" s="44">
        <f t="shared" si="72"/>
        <v>70.56</v>
      </c>
      <c r="BZ276" s="44">
        <f t="shared" si="73"/>
        <v>23.52</v>
      </c>
      <c r="CL276">
        <f t="shared" si="74"/>
        <v>1471</v>
      </c>
      <c r="CM276" s="2" t="s">
        <v>1207</v>
      </c>
    </row>
    <row r="278" spans="1:92" ht="12.75">
      <c r="A278" s="18">
        <v>1471</v>
      </c>
      <c r="B278" s="14" t="s">
        <v>1117</v>
      </c>
      <c r="C278" s="14" t="s">
        <v>644</v>
      </c>
      <c r="D278" s="14" t="s">
        <v>236</v>
      </c>
      <c r="E278" s="14" t="s">
        <v>372</v>
      </c>
      <c r="F278" s="32" t="s">
        <v>333</v>
      </c>
      <c r="G278" s="2">
        <v>2</v>
      </c>
      <c r="H278" s="2" t="s">
        <v>758</v>
      </c>
      <c r="I278" s="10">
        <v>6</v>
      </c>
      <c r="J278" s="6">
        <v>0.525</v>
      </c>
      <c r="K278" s="2" t="s">
        <v>755</v>
      </c>
      <c r="L278" s="14" t="s">
        <v>415</v>
      </c>
      <c r="M278" s="2" t="s">
        <v>760</v>
      </c>
      <c r="N278" s="14" t="s">
        <v>772</v>
      </c>
      <c r="O278" s="14" t="s">
        <v>1595</v>
      </c>
      <c r="P278" s="2" t="s">
        <v>743</v>
      </c>
      <c r="Q278" s="10">
        <v>6</v>
      </c>
      <c r="W278" s="44">
        <f>Q278*X278</f>
        <v>37.800000000000004</v>
      </c>
      <c r="X278" s="44">
        <f>12*Z278</f>
        <v>6.300000000000001</v>
      </c>
      <c r="Z278" s="22">
        <f>10/20+6/240</f>
        <v>0.525</v>
      </c>
      <c r="AH278" s="22">
        <f>W278/12</f>
        <v>3.1500000000000004</v>
      </c>
      <c r="AJ278">
        <v>10</v>
      </c>
      <c r="AK278">
        <v>6</v>
      </c>
      <c r="AL278" s="6">
        <f>Z278*1</f>
        <v>0.525</v>
      </c>
      <c r="BI278" s="6">
        <v>0.525</v>
      </c>
      <c r="BY278" s="44">
        <f>W278+(BQ278*12*Q278)+BV278</f>
        <v>37.800000000000004</v>
      </c>
      <c r="BZ278" s="44">
        <f>BY278/Q278</f>
        <v>6.300000000000001</v>
      </c>
      <c r="CL278">
        <f>A278*1</f>
        <v>1471</v>
      </c>
      <c r="CM278" s="2" t="s">
        <v>760</v>
      </c>
      <c r="CN278" t="s">
        <v>78</v>
      </c>
    </row>
    <row r="279" ht="12.75">
      <c r="M279" s="2"/>
    </row>
    <row r="280" spans="1:91" ht="12.75">
      <c r="A280" s="18">
        <v>1471</v>
      </c>
      <c r="B280" s="14" t="s">
        <v>1239</v>
      </c>
      <c r="C280" s="14" t="s">
        <v>644</v>
      </c>
      <c r="D280" s="14" t="s">
        <v>237</v>
      </c>
      <c r="E280" s="14" t="s">
        <v>372</v>
      </c>
      <c r="F280" s="32" t="s">
        <v>334</v>
      </c>
      <c r="G280" s="2"/>
      <c r="H280" s="2" t="s">
        <v>537</v>
      </c>
      <c r="I280" s="10">
        <v>8</v>
      </c>
      <c r="J280" s="6">
        <v>5.625</v>
      </c>
      <c r="K280" s="2" t="s">
        <v>806</v>
      </c>
      <c r="L280" s="14" t="s">
        <v>415</v>
      </c>
      <c r="M280" s="2" t="s">
        <v>557</v>
      </c>
      <c r="N280" s="14" t="s">
        <v>507</v>
      </c>
      <c r="O280" s="14" t="s">
        <v>442</v>
      </c>
      <c r="P280" s="2" t="s">
        <v>1660</v>
      </c>
      <c r="Q280" s="10">
        <v>8</v>
      </c>
      <c r="W280" s="44">
        <f>Q280*X280</f>
        <v>540</v>
      </c>
      <c r="X280" s="44">
        <f>12*Z280</f>
        <v>67.5</v>
      </c>
      <c r="Z280" s="22">
        <f>5+12/20+6/240</f>
        <v>5.625</v>
      </c>
      <c r="AE280">
        <v>45</v>
      </c>
      <c r="AF280">
        <v>0</v>
      </c>
      <c r="AG280">
        <v>0</v>
      </c>
      <c r="AH280" s="22">
        <f>W280/12</f>
        <v>45</v>
      </c>
      <c r="AI280">
        <v>5</v>
      </c>
      <c r="AJ280">
        <v>12</v>
      </c>
      <c r="AK280">
        <v>6</v>
      </c>
      <c r="AL280" s="6">
        <f>Z280*1</f>
        <v>5.625</v>
      </c>
      <c r="BY280" s="44">
        <f>W280+(BQ280*12*Q280)+BV280</f>
        <v>540</v>
      </c>
      <c r="BZ280" s="44">
        <f>BY280/Q280</f>
        <v>67.5</v>
      </c>
      <c r="CL280">
        <f>A280*1</f>
        <v>1471</v>
      </c>
      <c r="CM280" s="2" t="s">
        <v>557</v>
      </c>
    </row>
    <row r="281" spans="1:91" ht="12.75">
      <c r="A281" s="18">
        <v>1471</v>
      </c>
      <c r="B281" s="14" t="s">
        <v>1239</v>
      </c>
      <c r="C281" s="14" t="s">
        <v>644</v>
      </c>
      <c r="D281" s="14" t="s">
        <v>237</v>
      </c>
      <c r="E281" s="14" t="s">
        <v>372</v>
      </c>
      <c r="F281" s="32" t="s">
        <v>335</v>
      </c>
      <c r="G281" s="2"/>
      <c r="H281" s="2" t="s">
        <v>537</v>
      </c>
      <c r="I281" s="10">
        <v>5</v>
      </c>
      <c r="J281" s="6">
        <v>5.375</v>
      </c>
      <c r="K281" s="2" t="s">
        <v>808</v>
      </c>
      <c r="L281" s="14" t="s">
        <v>415</v>
      </c>
      <c r="M281" s="2" t="s">
        <v>568</v>
      </c>
      <c r="N281" s="14" t="s">
        <v>509</v>
      </c>
      <c r="O281" s="14" t="s">
        <v>906</v>
      </c>
      <c r="P281" s="2" t="s">
        <v>1660</v>
      </c>
      <c r="Q281" s="10">
        <v>5</v>
      </c>
      <c r="W281" s="44">
        <f>Q281*X281</f>
        <v>322.5</v>
      </c>
      <c r="X281" s="44">
        <f>12*Z281</f>
        <v>64.5</v>
      </c>
      <c r="Z281" s="22">
        <f>5+7/20+6/240</f>
        <v>5.375</v>
      </c>
      <c r="AH281" s="22">
        <f>W281/12</f>
        <v>26.875</v>
      </c>
      <c r="AI281">
        <v>5</v>
      </c>
      <c r="AJ281">
        <v>7</v>
      </c>
      <c r="AK281">
        <v>6</v>
      </c>
      <c r="AL281" s="6">
        <f>Z281*1</f>
        <v>5.375</v>
      </c>
      <c r="BY281" s="44">
        <f>W281+(BQ281*12*Q281)+BV281</f>
        <v>322.5</v>
      </c>
      <c r="BZ281" s="44">
        <f>BY281/Q281</f>
        <v>64.5</v>
      </c>
      <c r="CL281">
        <f>A281*1</f>
        <v>1471</v>
      </c>
      <c r="CM281" s="2" t="s">
        <v>568</v>
      </c>
    </row>
    <row r="282" spans="1:91" ht="12.75">
      <c r="A282" s="18">
        <v>1471</v>
      </c>
      <c r="B282" s="14" t="s">
        <v>1239</v>
      </c>
      <c r="C282" s="14" t="s">
        <v>644</v>
      </c>
      <c r="D282" s="14" t="s">
        <v>237</v>
      </c>
      <c r="E282" s="14" t="s">
        <v>372</v>
      </c>
      <c r="F282" s="32" t="s">
        <v>336</v>
      </c>
      <c r="G282" s="2"/>
      <c r="H282" s="2" t="s">
        <v>5</v>
      </c>
      <c r="I282" s="10">
        <v>1</v>
      </c>
      <c r="J282" s="6">
        <v>5.75</v>
      </c>
      <c r="K282" s="2" t="s">
        <v>813</v>
      </c>
      <c r="L282" s="14" t="s">
        <v>415</v>
      </c>
      <c r="M282" s="2" t="s">
        <v>818</v>
      </c>
      <c r="N282" s="14" t="s">
        <v>896</v>
      </c>
      <c r="O282" s="14" t="s">
        <v>442</v>
      </c>
      <c r="P282" s="2" t="s">
        <v>1660</v>
      </c>
      <c r="Q282" s="10">
        <v>1</v>
      </c>
      <c r="W282" s="44">
        <f>Q282*X282</f>
        <v>69</v>
      </c>
      <c r="X282" s="44">
        <f>12*Z282</f>
        <v>69</v>
      </c>
      <c r="Z282" s="22">
        <f>5+15/20</f>
        <v>5.75</v>
      </c>
      <c r="AE282">
        <v>5</v>
      </c>
      <c r="AF282">
        <v>15</v>
      </c>
      <c r="AG282">
        <v>0</v>
      </c>
      <c r="AH282" s="22">
        <f>W282/12</f>
        <v>5.75</v>
      </c>
      <c r="AI282">
        <v>5</v>
      </c>
      <c r="AJ282">
        <v>15</v>
      </c>
      <c r="AK282">
        <v>0</v>
      </c>
      <c r="AL282" s="6">
        <f>Z282*1</f>
        <v>5.75</v>
      </c>
      <c r="BY282" s="44">
        <f>W282+(BQ282*12*Q282)+BV282</f>
        <v>69</v>
      </c>
      <c r="BZ282" s="44">
        <f>BY282/Q282</f>
        <v>69</v>
      </c>
      <c r="CL282">
        <f>A282*1</f>
        <v>1471</v>
      </c>
      <c r="CM282" s="2" t="s">
        <v>818</v>
      </c>
    </row>
    <row r="283" spans="1:24" ht="12.75">
      <c r="A283" s="18"/>
      <c r="E283" s="14"/>
      <c r="F283" s="32"/>
      <c r="G283" s="2"/>
      <c r="M283" s="2"/>
      <c r="W283" s="44"/>
      <c r="X283" s="44"/>
    </row>
    <row r="284" spans="1:92" ht="12.75">
      <c r="A284" s="18">
        <v>1472</v>
      </c>
      <c r="B284" s="14" t="s">
        <v>1117</v>
      </c>
      <c r="C284" s="14" t="s">
        <v>644</v>
      </c>
      <c r="D284" s="14" t="s">
        <v>237</v>
      </c>
      <c r="E284" s="14" t="s">
        <v>373</v>
      </c>
      <c r="F284" s="32" t="s">
        <v>337</v>
      </c>
      <c r="G284" s="2">
        <v>1</v>
      </c>
      <c r="H284" s="2" t="s">
        <v>537</v>
      </c>
      <c r="I284" s="10">
        <v>8</v>
      </c>
      <c r="J284" s="6">
        <v>9</v>
      </c>
      <c r="K284" s="2" t="s">
        <v>810</v>
      </c>
      <c r="L284" s="14" t="s">
        <v>415</v>
      </c>
      <c r="M284" s="2" t="s">
        <v>566</v>
      </c>
      <c r="N284" s="14" t="s">
        <v>509</v>
      </c>
      <c r="O284" s="14" t="s">
        <v>897</v>
      </c>
      <c r="P284" s="2" t="s">
        <v>619</v>
      </c>
      <c r="Q284" s="10">
        <v>8</v>
      </c>
      <c r="W284" s="44">
        <f>Q284*X284</f>
        <v>864</v>
      </c>
      <c r="X284" s="44">
        <f>12*Z284</f>
        <v>108</v>
      </c>
      <c r="Z284" s="22">
        <v>9</v>
      </c>
      <c r="AH284" s="22">
        <f>W284/12</f>
        <v>72</v>
      </c>
      <c r="AI284">
        <v>9</v>
      </c>
      <c r="AJ284">
        <v>0</v>
      </c>
      <c r="AK284">
        <v>0</v>
      </c>
      <c r="AL284" s="6">
        <f>Z284*1</f>
        <v>9</v>
      </c>
      <c r="AX284" s="6">
        <v>9</v>
      </c>
      <c r="AZ284" s="6">
        <v>9</v>
      </c>
      <c r="BI284" s="6">
        <v>9</v>
      </c>
      <c r="BO284" s="22">
        <f>1/15</f>
        <v>0.06666666666666667</v>
      </c>
      <c r="BQ284" s="22">
        <f>BN284+BO284+BP284</f>
        <v>0.06666666666666667</v>
      </c>
      <c r="BR284" s="22">
        <f>Z284+BQ284</f>
        <v>9.066666666666666</v>
      </c>
      <c r="BT284" s="37">
        <f>BO284/BR284</f>
        <v>0.007352941176470588</v>
      </c>
      <c r="BU284" s="37">
        <f>BQ284/BR284</f>
        <v>0.007352941176470588</v>
      </c>
      <c r="BY284" s="44">
        <f>W284+(BQ284*12*Q284)+BV284</f>
        <v>870.4</v>
      </c>
      <c r="BZ284" s="44">
        <f>BY284/Q284</f>
        <v>108.8</v>
      </c>
      <c r="CL284">
        <f>A284*1</f>
        <v>1472</v>
      </c>
      <c r="CM284" s="2" t="s">
        <v>566</v>
      </c>
      <c r="CN284" t="s">
        <v>80</v>
      </c>
    </row>
    <row r="285" spans="1:92" ht="12.75">
      <c r="A285" s="18">
        <v>1472</v>
      </c>
      <c r="B285" s="14" t="s">
        <v>1117</v>
      </c>
      <c r="C285" s="14" t="s">
        <v>644</v>
      </c>
      <c r="D285" s="14" t="s">
        <v>237</v>
      </c>
      <c r="E285" s="14" t="s">
        <v>373</v>
      </c>
      <c r="F285" s="32" t="s">
        <v>338</v>
      </c>
      <c r="G285" s="2">
        <v>1</v>
      </c>
      <c r="H285" s="2" t="s">
        <v>537</v>
      </c>
      <c r="I285" s="10">
        <v>7</v>
      </c>
      <c r="J285" s="6">
        <v>9</v>
      </c>
      <c r="K285" s="2" t="s">
        <v>895</v>
      </c>
      <c r="L285" s="14" t="s">
        <v>415</v>
      </c>
      <c r="M285" s="2" t="s">
        <v>555</v>
      </c>
      <c r="N285" s="14" t="s">
        <v>509</v>
      </c>
      <c r="O285" s="14" t="s">
        <v>416</v>
      </c>
      <c r="P285" s="2" t="s">
        <v>619</v>
      </c>
      <c r="Q285" s="10">
        <v>7</v>
      </c>
      <c r="W285" s="44">
        <f>Q285*X285</f>
        <v>756</v>
      </c>
      <c r="X285" s="44">
        <f>12*Z285</f>
        <v>108</v>
      </c>
      <c r="Z285" s="22">
        <v>9</v>
      </c>
      <c r="AH285" s="22">
        <f>W285/12</f>
        <v>63</v>
      </c>
      <c r="AI285">
        <v>9</v>
      </c>
      <c r="AJ285">
        <v>0</v>
      </c>
      <c r="AK285">
        <v>0</v>
      </c>
      <c r="AL285" s="6">
        <f>Z285*1</f>
        <v>9</v>
      </c>
      <c r="AX285" s="6">
        <v>9</v>
      </c>
      <c r="AZ285" s="6">
        <v>9</v>
      </c>
      <c r="BI285" s="6">
        <v>9</v>
      </c>
      <c r="BO285" s="22">
        <f>1/15</f>
        <v>0.06666666666666667</v>
      </c>
      <c r="BQ285" s="22">
        <f>BN285+BO285+BP285</f>
        <v>0.06666666666666667</v>
      </c>
      <c r="BR285" s="22">
        <f>Z285+BQ285</f>
        <v>9.066666666666666</v>
      </c>
      <c r="BT285" s="37">
        <f>BO285/BR285</f>
        <v>0.007352941176470588</v>
      </c>
      <c r="BU285" s="37">
        <f>BQ285/BR285</f>
        <v>0.007352941176470588</v>
      </c>
      <c r="BY285" s="44">
        <f>W285+(BQ285*12*Q285)+BV285</f>
        <v>761.6</v>
      </c>
      <c r="BZ285" s="44">
        <f>BY285/Q285</f>
        <v>108.8</v>
      </c>
      <c r="CL285">
        <f>A285*1</f>
        <v>1472</v>
      </c>
      <c r="CM285" s="2" t="s">
        <v>555</v>
      </c>
      <c r="CN285" t="s">
        <v>1191</v>
      </c>
    </row>
    <row r="286" spans="1:78" ht="12.75">
      <c r="A286" s="18"/>
      <c r="E286" s="14"/>
      <c r="F286" s="32"/>
      <c r="G286" s="2"/>
      <c r="M286" s="2"/>
      <c r="W286" s="44"/>
      <c r="X286" s="44"/>
      <c r="BY286" s="44"/>
      <c r="BZ286" s="44"/>
    </row>
    <row r="287" spans="1:91" ht="12.75">
      <c r="A287" s="18">
        <v>1472</v>
      </c>
      <c r="B287" s="14" t="s">
        <v>1117</v>
      </c>
      <c r="C287" s="14" t="s">
        <v>644</v>
      </c>
      <c r="D287" s="14" t="s">
        <v>237</v>
      </c>
      <c r="E287" s="14" t="s">
        <v>373</v>
      </c>
      <c r="F287" s="32" t="s">
        <v>339</v>
      </c>
      <c r="G287" s="2">
        <v>2</v>
      </c>
      <c r="H287" s="2" t="s">
        <v>537</v>
      </c>
      <c r="I287" s="10">
        <v>7</v>
      </c>
      <c r="J287" s="6">
        <v>2.7333333333333334</v>
      </c>
      <c r="K287" s="2" t="s">
        <v>1498</v>
      </c>
      <c r="L287" s="14" t="s">
        <v>1414</v>
      </c>
      <c r="M287" s="2" t="s">
        <v>591</v>
      </c>
      <c r="N287" s="14" t="s">
        <v>509</v>
      </c>
      <c r="O287" s="14" t="s">
        <v>906</v>
      </c>
      <c r="P287" s="2" t="s">
        <v>1136</v>
      </c>
      <c r="Q287" s="10">
        <v>7</v>
      </c>
      <c r="W287" s="44">
        <f aca="true" t="shared" si="75" ref="W287:W293">Q287*X287</f>
        <v>229.59999999999997</v>
      </c>
      <c r="X287" s="44">
        <f aca="true" t="shared" si="76" ref="X287:X293">12*Z287</f>
        <v>32.8</v>
      </c>
      <c r="Z287" s="22">
        <f>2+14/20+8/240</f>
        <v>2.7333333333333334</v>
      </c>
      <c r="AH287" s="22">
        <f aca="true" t="shared" si="77" ref="AH287:AH293">W287/12</f>
        <v>19.13333333333333</v>
      </c>
      <c r="AI287">
        <v>2</v>
      </c>
      <c r="AJ287">
        <v>14</v>
      </c>
      <c r="AK287">
        <v>8</v>
      </c>
      <c r="AL287" s="6">
        <f aca="true" t="shared" si="78" ref="AL287:AL293">Z287*1</f>
        <v>2.7333333333333334</v>
      </c>
      <c r="AN287" s="6">
        <v>2.7333333333333334</v>
      </c>
      <c r="BY287" s="44">
        <f aca="true" t="shared" si="79" ref="BY287:BY293">W287+(BQ287*12*Q287)+BV287</f>
        <v>229.59999999999997</v>
      </c>
      <c r="BZ287" s="44">
        <f aca="true" t="shared" si="80" ref="BZ287:BZ293">BY287/Q287</f>
        <v>32.8</v>
      </c>
      <c r="CL287">
        <f aca="true" t="shared" si="81" ref="CL287:CL293">A287*1</f>
        <v>1472</v>
      </c>
      <c r="CM287" s="2" t="s">
        <v>591</v>
      </c>
    </row>
    <row r="288" spans="1:91" ht="12.75">
      <c r="A288" s="18">
        <v>1472</v>
      </c>
      <c r="B288" s="14" t="s">
        <v>1117</v>
      </c>
      <c r="C288" s="14" t="s">
        <v>644</v>
      </c>
      <c r="D288" s="14" t="s">
        <v>237</v>
      </c>
      <c r="E288" s="14" t="s">
        <v>373</v>
      </c>
      <c r="F288" s="32" t="s">
        <v>340</v>
      </c>
      <c r="G288" s="2">
        <v>2</v>
      </c>
      <c r="H288" s="2" t="s">
        <v>537</v>
      </c>
      <c r="I288" s="10">
        <v>1</v>
      </c>
      <c r="J288" s="6">
        <v>2.9</v>
      </c>
      <c r="K288" s="2" t="s">
        <v>1498</v>
      </c>
      <c r="L288" s="14" t="s">
        <v>1414</v>
      </c>
      <c r="M288" s="2" t="s">
        <v>591</v>
      </c>
      <c r="N288" s="14" t="s">
        <v>509</v>
      </c>
      <c r="O288" s="14" t="s">
        <v>906</v>
      </c>
      <c r="P288" s="2" t="s">
        <v>1136</v>
      </c>
      <c r="Q288" s="10">
        <v>1</v>
      </c>
      <c r="W288" s="44">
        <f t="shared" si="75"/>
        <v>34.8</v>
      </c>
      <c r="X288" s="44">
        <f t="shared" si="76"/>
        <v>34.8</v>
      </c>
      <c r="Z288" s="22">
        <f>2+18/20</f>
        <v>2.9</v>
      </c>
      <c r="AE288">
        <v>2</v>
      </c>
      <c r="AF288">
        <v>18</v>
      </c>
      <c r="AG288">
        <v>0</v>
      </c>
      <c r="AH288" s="22">
        <f t="shared" si="77"/>
        <v>2.9</v>
      </c>
      <c r="AI288">
        <v>2</v>
      </c>
      <c r="AJ288">
        <v>18</v>
      </c>
      <c r="AK288">
        <v>0</v>
      </c>
      <c r="AL288" s="6">
        <f t="shared" si="78"/>
        <v>2.9</v>
      </c>
      <c r="AN288" s="6">
        <v>2.9</v>
      </c>
      <c r="BY288" s="44">
        <f t="shared" si="79"/>
        <v>34.8</v>
      </c>
      <c r="BZ288" s="44">
        <f t="shared" si="80"/>
        <v>34.8</v>
      </c>
      <c r="CL288">
        <f t="shared" si="81"/>
        <v>1472</v>
      </c>
      <c r="CM288" s="2" t="s">
        <v>591</v>
      </c>
    </row>
    <row r="289" spans="1:91" ht="12.75">
      <c r="A289" s="18">
        <v>1472</v>
      </c>
      <c r="B289" s="14" t="s">
        <v>1117</v>
      </c>
      <c r="C289" s="14" t="s">
        <v>644</v>
      </c>
      <c r="D289" s="14" t="s">
        <v>237</v>
      </c>
      <c r="E289" s="14" t="s">
        <v>373</v>
      </c>
      <c r="F289" s="32" t="s">
        <v>341</v>
      </c>
      <c r="G289" s="2">
        <v>2</v>
      </c>
      <c r="H289" s="2" t="s">
        <v>537</v>
      </c>
      <c r="I289" s="10">
        <v>1</v>
      </c>
      <c r="J289" s="6">
        <v>3</v>
      </c>
      <c r="K289" s="2" t="s">
        <v>1498</v>
      </c>
      <c r="L289" s="14" t="s">
        <v>1414</v>
      </c>
      <c r="M289" s="2" t="s">
        <v>591</v>
      </c>
      <c r="N289" s="14" t="s">
        <v>509</v>
      </c>
      <c r="O289" s="14" t="s">
        <v>906</v>
      </c>
      <c r="P289" s="2" t="s">
        <v>1136</v>
      </c>
      <c r="Q289" s="10">
        <v>1</v>
      </c>
      <c r="W289" s="44">
        <f t="shared" si="75"/>
        <v>36</v>
      </c>
      <c r="X289" s="44">
        <f t="shared" si="76"/>
        <v>36</v>
      </c>
      <c r="Z289" s="22">
        <v>3</v>
      </c>
      <c r="AE289">
        <v>3</v>
      </c>
      <c r="AF289">
        <v>0</v>
      </c>
      <c r="AG289">
        <v>0</v>
      </c>
      <c r="AH289" s="22">
        <f t="shared" si="77"/>
        <v>3</v>
      </c>
      <c r="AI289">
        <v>3</v>
      </c>
      <c r="AJ289">
        <v>0</v>
      </c>
      <c r="AK289">
        <v>0</v>
      </c>
      <c r="AL289" s="6">
        <f t="shared" si="78"/>
        <v>3</v>
      </c>
      <c r="AN289" s="6">
        <v>3</v>
      </c>
      <c r="BY289" s="44">
        <f t="shared" si="79"/>
        <v>36</v>
      </c>
      <c r="BZ289" s="44">
        <f t="shared" si="80"/>
        <v>36</v>
      </c>
      <c r="CL289">
        <f t="shared" si="81"/>
        <v>1472</v>
      </c>
      <c r="CM289" s="2" t="s">
        <v>591</v>
      </c>
    </row>
    <row r="290" spans="1:91" ht="12.75">
      <c r="A290" s="18">
        <v>1472</v>
      </c>
      <c r="B290" s="14" t="s">
        <v>1117</v>
      </c>
      <c r="C290" s="14" t="s">
        <v>644</v>
      </c>
      <c r="D290" s="14" t="s">
        <v>237</v>
      </c>
      <c r="E290" s="14" t="s">
        <v>373</v>
      </c>
      <c r="F290" s="32" t="s">
        <v>342</v>
      </c>
      <c r="G290" s="2">
        <v>2</v>
      </c>
      <c r="H290" s="2" t="s">
        <v>537</v>
      </c>
      <c r="I290" s="10">
        <v>2</v>
      </c>
      <c r="J290" s="6">
        <v>2.7</v>
      </c>
      <c r="K290" s="2" t="s">
        <v>1498</v>
      </c>
      <c r="L290" s="14" t="s">
        <v>1414</v>
      </c>
      <c r="M290" s="2" t="s">
        <v>591</v>
      </c>
      <c r="N290" s="14" t="s">
        <v>509</v>
      </c>
      <c r="O290" s="14" t="s">
        <v>906</v>
      </c>
      <c r="P290" s="2" t="s">
        <v>1136</v>
      </c>
      <c r="Q290" s="10">
        <v>2</v>
      </c>
      <c r="W290" s="44">
        <f t="shared" si="75"/>
        <v>64.80000000000001</v>
      </c>
      <c r="X290" s="44">
        <f t="shared" si="76"/>
        <v>32.400000000000006</v>
      </c>
      <c r="Z290" s="22">
        <f>2+14/20</f>
        <v>2.7</v>
      </c>
      <c r="AH290" s="22">
        <f t="shared" si="77"/>
        <v>5.400000000000001</v>
      </c>
      <c r="AI290">
        <v>2</v>
      </c>
      <c r="AJ290">
        <v>14</v>
      </c>
      <c r="AK290">
        <v>0</v>
      </c>
      <c r="AL290" s="6">
        <f t="shared" si="78"/>
        <v>2.7</v>
      </c>
      <c r="AN290" s="6">
        <v>2.7</v>
      </c>
      <c r="BY290" s="44">
        <f t="shared" si="79"/>
        <v>64.80000000000001</v>
      </c>
      <c r="BZ290" s="44">
        <f t="shared" si="80"/>
        <v>32.400000000000006</v>
      </c>
      <c r="CL290">
        <f t="shared" si="81"/>
        <v>1472</v>
      </c>
      <c r="CM290" s="2" t="s">
        <v>591</v>
      </c>
    </row>
    <row r="291" spans="1:92" ht="12.75">
      <c r="A291" s="18">
        <v>1472</v>
      </c>
      <c r="B291" s="14" t="s">
        <v>1117</v>
      </c>
      <c r="C291" s="14" t="s">
        <v>644</v>
      </c>
      <c r="D291" s="14" t="s">
        <v>237</v>
      </c>
      <c r="E291" s="14" t="s">
        <v>373</v>
      </c>
      <c r="F291" s="32" t="s">
        <v>343</v>
      </c>
      <c r="G291" s="2">
        <v>2</v>
      </c>
      <c r="H291" s="2" t="s">
        <v>1214</v>
      </c>
      <c r="I291" s="10">
        <v>3</v>
      </c>
      <c r="J291" s="6">
        <v>2.175</v>
      </c>
      <c r="K291" s="2" t="s">
        <v>489</v>
      </c>
      <c r="L291" s="14" t="s">
        <v>415</v>
      </c>
      <c r="M291" s="2" t="s">
        <v>1204</v>
      </c>
      <c r="N291" s="14" t="s">
        <v>1201</v>
      </c>
      <c r="O291" s="14" t="s">
        <v>416</v>
      </c>
      <c r="P291" s="2" t="s">
        <v>741</v>
      </c>
      <c r="Q291" s="10">
        <v>3</v>
      </c>
      <c r="S291" s="10">
        <v>108</v>
      </c>
      <c r="W291" s="44">
        <f t="shared" si="75"/>
        <v>78.3</v>
      </c>
      <c r="X291" s="44">
        <f t="shared" si="76"/>
        <v>26.099999999999998</v>
      </c>
      <c r="Y291" s="22">
        <v>14.5</v>
      </c>
      <c r="Z291" s="22">
        <f>2+3/20+6/240</f>
        <v>2.175</v>
      </c>
      <c r="AH291" s="22">
        <f t="shared" si="77"/>
        <v>6.5249999999999995</v>
      </c>
      <c r="AI291">
        <v>2</v>
      </c>
      <c r="AJ291">
        <v>3</v>
      </c>
      <c r="AK291">
        <v>6</v>
      </c>
      <c r="AL291" s="6">
        <f t="shared" si="78"/>
        <v>2.175</v>
      </c>
      <c r="AM291" s="22">
        <f>Y291/12</f>
        <v>1.2083333333333333</v>
      </c>
      <c r="BI291" s="6">
        <v>2.175</v>
      </c>
      <c r="BY291" s="44">
        <f t="shared" si="79"/>
        <v>78.3</v>
      </c>
      <c r="BZ291" s="44">
        <f t="shared" si="80"/>
        <v>26.099999999999998</v>
      </c>
      <c r="CL291">
        <f t="shared" si="81"/>
        <v>1472</v>
      </c>
      <c r="CM291" s="2" t="s">
        <v>1204</v>
      </c>
      <c r="CN291" t="s">
        <v>79</v>
      </c>
    </row>
    <row r="292" spans="1:92" ht="12.75">
      <c r="A292" s="18">
        <v>1472</v>
      </c>
      <c r="B292" s="14" t="s">
        <v>1117</v>
      </c>
      <c r="C292" s="14" t="s">
        <v>644</v>
      </c>
      <c r="D292" s="14" t="s">
        <v>237</v>
      </c>
      <c r="E292" s="14" t="s">
        <v>373</v>
      </c>
      <c r="F292" s="32" t="s">
        <v>344</v>
      </c>
      <c r="G292" s="2">
        <v>2</v>
      </c>
      <c r="H292" s="2" t="s">
        <v>1214</v>
      </c>
      <c r="I292" s="10">
        <v>2</v>
      </c>
      <c r="J292" s="6">
        <v>2.175</v>
      </c>
      <c r="K292" s="2" t="s">
        <v>984</v>
      </c>
      <c r="L292" s="14" t="s">
        <v>415</v>
      </c>
      <c r="M292" s="2" t="s">
        <v>1208</v>
      </c>
      <c r="N292" s="14" t="s">
        <v>1201</v>
      </c>
      <c r="O292" s="14" t="s">
        <v>906</v>
      </c>
      <c r="P292" s="2" t="s">
        <v>741</v>
      </c>
      <c r="Q292" s="10">
        <v>2</v>
      </c>
      <c r="S292" s="10">
        <v>72</v>
      </c>
      <c r="W292" s="44">
        <f t="shared" si="75"/>
        <v>52.199999999999996</v>
      </c>
      <c r="X292" s="44">
        <f t="shared" si="76"/>
        <v>26.099999999999998</v>
      </c>
      <c r="Y292" s="22">
        <v>14.5</v>
      </c>
      <c r="Z292" s="22">
        <f>2+3/20+6/240</f>
        <v>2.175</v>
      </c>
      <c r="AH292" s="22">
        <f t="shared" si="77"/>
        <v>4.35</v>
      </c>
      <c r="AI292">
        <v>2</v>
      </c>
      <c r="AJ292">
        <v>3</v>
      </c>
      <c r="AK292">
        <v>6</v>
      </c>
      <c r="AL292" s="6">
        <f t="shared" si="78"/>
        <v>2.175</v>
      </c>
      <c r="AM292" s="22">
        <f>Y292/12</f>
        <v>1.2083333333333333</v>
      </c>
      <c r="BI292" s="6">
        <v>2.175</v>
      </c>
      <c r="BY292" s="44">
        <f t="shared" si="79"/>
        <v>52.199999999999996</v>
      </c>
      <c r="BZ292" s="44">
        <f t="shared" si="80"/>
        <v>26.099999999999998</v>
      </c>
      <c r="CL292">
        <f t="shared" si="81"/>
        <v>1472</v>
      </c>
      <c r="CM292" s="2" t="s">
        <v>1208</v>
      </c>
      <c r="CN292" t="s">
        <v>1348</v>
      </c>
    </row>
    <row r="293" spans="1:91" ht="12.75">
      <c r="A293" s="18">
        <v>1472</v>
      </c>
      <c r="B293" s="14" t="s">
        <v>1117</v>
      </c>
      <c r="C293" s="14" t="s">
        <v>644</v>
      </c>
      <c r="D293" s="14" t="s">
        <v>237</v>
      </c>
      <c r="E293" s="14" t="s">
        <v>373</v>
      </c>
      <c r="F293" s="32" t="s">
        <v>345</v>
      </c>
      <c r="G293" s="2">
        <v>2</v>
      </c>
      <c r="H293" s="2" t="s">
        <v>758</v>
      </c>
      <c r="I293" s="10">
        <v>6</v>
      </c>
      <c r="J293" s="6">
        <v>0.625</v>
      </c>
      <c r="K293" s="2" t="s">
        <v>1686</v>
      </c>
      <c r="L293" s="14" t="s">
        <v>415</v>
      </c>
      <c r="M293" s="2" t="s">
        <v>763</v>
      </c>
      <c r="N293" s="14" t="s">
        <v>773</v>
      </c>
      <c r="O293" s="14" t="s">
        <v>1636</v>
      </c>
      <c r="P293" s="2" t="s">
        <v>387</v>
      </c>
      <c r="Q293" s="10">
        <v>6</v>
      </c>
      <c r="W293" s="44">
        <f t="shared" si="75"/>
        <v>45</v>
      </c>
      <c r="X293" s="44">
        <f t="shared" si="76"/>
        <v>7.5</v>
      </c>
      <c r="Z293" s="22">
        <f>12/20+6/240</f>
        <v>0.625</v>
      </c>
      <c r="AH293" s="22">
        <f t="shared" si="77"/>
        <v>3.75</v>
      </c>
      <c r="AJ293">
        <v>12</v>
      </c>
      <c r="AK293">
        <v>6</v>
      </c>
      <c r="AL293" s="6">
        <f t="shared" si="78"/>
        <v>0.625</v>
      </c>
      <c r="BI293" s="6">
        <v>0.625</v>
      </c>
      <c r="BY293" s="44">
        <f t="shared" si="79"/>
        <v>45</v>
      </c>
      <c r="BZ293" s="44">
        <f t="shared" si="80"/>
        <v>7.5</v>
      </c>
      <c r="CL293">
        <f t="shared" si="81"/>
        <v>1472</v>
      </c>
      <c r="CM293" s="2" t="s">
        <v>763</v>
      </c>
    </row>
    <row r="294" spans="1:34" ht="12.75">
      <c r="A294" s="18"/>
      <c r="E294" s="14"/>
      <c r="F294" s="32"/>
      <c r="G294" s="2"/>
      <c r="M294" s="2"/>
      <c r="W294" s="44"/>
      <c r="X294" s="44"/>
      <c r="AH294" s="22"/>
    </row>
    <row r="295" spans="1:92" ht="12.75">
      <c r="A295" s="18">
        <v>1472</v>
      </c>
      <c r="B295" s="14" t="s">
        <v>1239</v>
      </c>
      <c r="C295" s="14" t="s">
        <v>644</v>
      </c>
      <c r="D295" s="14" t="s">
        <v>238</v>
      </c>
      <c r="E295" s="14" t="s">
        <v>374</v>
      </c>
      <c r="F295" s="32" t="s">
        <v>346</v>
      </c>
      <c r="G295" s="2"/>
      <c r="H295" s="2" t="s">
        <v>537</v>
      </c>
      <c r="I295" s="10">
        <v>9</v>
      </c>
      <c r="J295" s="6">
        <v>5.5</v>
      </c>
      <c r="K295" s="2" t="s">
        <v>842</v>
      </c>
      <c r="L295" s="14" t="s">
        <v>415</v>
      </c>
      <c r="M295" s="2" t="s">
        <v>567</v>
      </c>
      <c r="N295" s="14" t="s">
        <v>509</v>
      </c>
      <c r="O295" s="14" t="s">
        <v>440</v>
      </c>
      <c r="P295" s="2" t="s">
        <v>1660</v>
      </c>
      <c r="Q295" s="10">
        <v>9</v>
      </c>
      <c r="W295" s="44">
        <f>Q295*X295</f>
        <v>594</v>
      </c>
      <c r="X295" s="44">
        <f>12*Z295</f>
        <v>66</v>
      </c>
      <c r="Z295" s="22">
        <f>5+10/20</f>
        <v>5.5</v>
      </c>
      <c r="AE295">
        <v>49</v>
      </c>
      <c r="AF295">
        <v>10</v>
      </c>
      <c r="AG295">
        <v>0</v>
      </c>
      <c r="AH295" s="22">
        <f>W295/12</f>
        <v>49.5</v>
      </c>
      <c r="AI295">
        <v>5</v>
      </c>
      <c r="AJ295">
        <v>10</v>
      </c>
      <c r="AK295">
        <v>0</v>
      </c>
      <c r="AL295" s="6">
        <f>Z295*1</f>
        <v>5.5</v>
      </c>
      <c r="BO295" s="22">
        <f>9/20/Q295</f>
        <v>0.05</v>
      </c>
      <c r="BQ295" s="22">
        <f>BN295+BO295+BP295</f>
        <v>0.05</v>
      </c>
      <c r="BR295" s="22">
        <f>Z295+BQ295</f>
        <v>5.55</v>
      </c>
      <c r="BT295" s="37">
        <f>BO295/BR295</f>
        <v>0.009009009009009009</v>
      </c>
      <c r="BU295" s="37">
        <f>BQ295/BR295</f>
        <v>0.009009009009009009</v>
      </c>
      <c r="BY295" s="44">
        <f>W295+(BQ295*12*Q295)+BV295</f>
        <v>599.4</v>
      </c>
      <c r="BZ295" s="44">
        <f>BY295/Q295</f>
        <v>66.6</v>
      </c>
      <c r="CL295">
        <f>A295*1</f>
        <v>1472</v>
      </c>
      <c r="CM295" s="2" t="s">
        <v>567</v>
      </c>
      <c r="CN295" t="s">
        <v>18</v>
      </c>
    </row>
    <row r="296" spans="1:91" ht="12.75">
      <c r="A296" s="18">
        <v>1472</v>
      </c>
      <c r="B296" s="14" t="s">
        <v>1239</v>
      </c>
      <c r="C296" s="14" t="s">
        <v>644</v>
      </c>
      <c r="D296" s="14" t="s">
        <v>238</v>
      </c>
      <c r="E296" s="14" t="s">
        <v>374</v>
      </c>
      <c r="F296" s="32" t="s">
        <v>347</v>
      </c>
      <c r="G296" s="2"/>
      <c r="H296" s="2" t="s">
        <v>537</v>
      </c>
      <c r="I296" s="10">
        <v>1</v>
      </c>
      <c r="J296" s="6">
        <v>6.4</v>
      </c>
      <c r="K296" s="2" t="s">
        <v>884</v>
      </c>
      <c r="L296" s="14" t="s">
        <v>415</v>
      </c>
      <c r="M296" s="2" t="s">
        <v>580</v>
      </c>
      <c r="N296" s="14" t="s">
        <v>509</v>
      </c>
      <c r="O296" s="14" t="s">
        <v>1668</v>
      </c>
      <c r="P296" s="2" t="s">
        <v>1660</v>
      </c>
      <c r="Q296" s="10">
        <v>1</v>
      </c>
      <c r="W296" s="44">
        <f>Q296*X296</f>
        <v>76.80000000000001</v>
      </c>
      <c r="X296" s="44">
        <f>12*Z296</f>
        <v>76.80000000000001</v>
      </c>
      <c r="Z296" s="22">
        <f>6+8/20</f>
        <v>6.4</v>
      </c>
      <c r="AE296">
        <v>6</v>
      </c>
      <c r="AF296">
        <v>8</v>
      </c>
      <c r="AG296">
        <v>0</v>
      </c>
      <c r="AH296" s="22">
        <f>W296/12</f>
        <v>6.400000000000001</v>
      </c>
      <c r="AI296">
        <v>6</v>
      </c>
      <c r="AJ296">
        <v>8</v>
      </c>
      <c r="AK296">
        <v>0</v>
      </c>
      <c r="AL296" s="6">
        <f>Z296*1</f>
        <v>6.4</v>
      </c>
      <c r="BY296" s="44">
        <f>W296+(BQ296*12*Q296)+BV296</f>
        <v>76.80000000000001</v>
      </c>
      <c r="BZ296" s="44">
        <f>BY296/Q296</f>
        <v>76.80000000000001</v>
      </c>
      <c r="CL296">
        <f>A296*1</f>
        <v>1472</v>
      </c>
      <c r="CM296" s="2" t="s">
        <v>580</v>
      </c>
    </row>
    <row r="297" spans="1:91" ht="12.75">
      <c r="A297" s="18">
        <v>1472</v>
      </c>
      <c r="B297" s="14" t="s">
        <v>1239</v>
      </c>
      <c r="C297" s="14" t="s">
        <v>644</v>
      </c>
      <c r="D297" s="14" t="s">
        <v>238</v>
      </c>
      <c r="E297" s="14" t="s">
        <v>374</v>
      </c>
      <c r="F297" s="32" t="s">
        <v>348</v>
      </c>
      <c r="G297" s="2"/>
      <c r="H297" s="2" t="s">
        <v>537</v>
      </c>
      <c r="I297" s="10">
        <v>2</v>
      </c>
      <c r="J297" s="6">
        <v>6.5</v>
      </c>
      <c r="K297" s="2" t="s">
        <v>884</v>
      </c>
      <c r="L297" s="14" t="s">
        <v>415</v>
      </c>
      <c r="M297" s="2" t="s">
        <v>580</v>
      </c>
      <c r="N297" s="14" t="s">
        <v>509</v>
      </c>
      <c r="O297" s="14" t="s">
        <v>1668</v>
      </c>
      <c r="P297" s="2" t="s">
        <v>1660</v>
      </c>
      <c r="Q297" s="10">
        <v>2</v>
      </c>
      <c r="W297" s="44">
        <f>Q297*X297</f>
        <v>156</v>
      </c>
      <c r="X297" s="44">
        <f>12*Z297</f>
        <v>78</v>
      </c>
      <c r="Z297" s="22">
        <f>6+10/20</f>
        <v>6.5</v>
      </c>
      <c r="AH297" s="22">
        <f>W297/12</f>
        <v>13</v>
      </c>
      <c r="AI297">
        <v>6</v>
      </c>
      <c r="AJ297">
        <v>10</v>
      </c>
      <c r="AK297">
        <v>0</v>
      </c>
      <c r="AL297" s="6">
        <f>Z297*1</f>
        <v>6.5</v>
      </c>
      <c r="BY297" s="44">
        <f>W297+(BQ297*12*Q297)+BV297</f>
        <v>156</v>
      </c>
      <c r="BZ297" s="44">
        <f>BY297/Q297</f>
        <v>78</v>
      </c>
      <c r="CL297">
        <f>A297*1</f>
        <v>1472</v>
      </c>
      <c r="CM297" s="2" t="s">
        <v>580</v>
      </c>
    </row>
    <row r="298" spans="1:91" ht="12.75">
      <c r="A298" s="18">
        <v>1472</v>
      </c>
      <c r="B298" s="14" t="s">
        <v>1239</v>
      </c>
      <c r="C298" s="14" t="s">
        <v>644</v>
      </c>
      <c r="D298" s="14" t="s">
        <v>238</v>
      </c>
      <c r="E298" s="14" t="s">
        <v>374</v>
      </c>
      <c r="F298" s="32" t="s">
        <v>349</v>
      </c>
      <c r="G298" s="2"/>
      <c r="H298" s="2" t="s">
        <v>537</v>
      </c>
      <c r="I298" s="10">
        <v>2</v>
      </c>
      <c r="J298" s="6">
        <v>6.25</v>
      </c>
      <c r="K298" s="2" t="s">
        <v>884</v>
      </c>
      <c r="L298" s="14" t="s">
        <v>415</v>
      </c>
      <c r="M298" s="2" t="s">
        <v>580</v>
      </c>
      <c r="N298" s="14" t="s">
        <v>509</v>
      </c>
      <c r="O298" s="14" t="s">
        <v>1668</v>
      </c>
      <c r="P298" s="2" t="s">
        <v>1660</v>
      </c>
      <c r="Q298" s="10">
        <v>2</v>
      </c>
      <c r="W298" s="44">
        <f>Q298*X298</f>
        <v>150</v>
      </c>
      <c r="X298" s="44">
        <f>12*Z298</f>
        <v>75</v>
      </c>
      <c r="Z298" s="22">
        <f>6+5/20</f>
        <v>6.25</v>
      </c>
      <c r="AH298" s="22">
        <f>W298/12</f>
        <v>12.5</v>
      </c>
      <c r="AI298">
        <v>6</v>
      </c>
      <c r="AJ298">
        <v>5</v>
      </c>
      <c r="AK298">
        <v>0</v>
      </c>
      <c r="AL298" s="6">
        <f>Z298*1</f>
        <v>6.25</v>
      </c>
      <c r="BY298" s="44">
        <f>W298+(BQ298*12*Q298)+BV298</f>
        <v>150</v>
      </c>
      <c r="BZ298" s="44">
        <f>BY298/Q298</f>
        <v>75</v>
      </c>
      <c r="CL298">
        <f>A298*1</f>
        <v>1472</v>
      </c>
      <c r="CM298" s="2" t="s">
        <v>580</v>
      </c>
    </row>
    <row r="299" spans="1:78" ht="12.75">
      <c r="A299" s="18"/>
      <c r="E299" s="14"/>
      <c r="F299" s="32"/>
      <c r="G299" s="2"/>
      <c r="M299" s="2"/>
      <c r="W299" s="44"/>
      <c r="X299" s="44"/>
      <c r="BY299" s="44"/>
      <c r="BZ299" s="44"/>
    </row>
    <row r="300" spans="1:92" ht="12.75">
      <c r="A300" s="18">
        <v>1473</v>
      </c>
      <c r="B300" s="14" t="s">
        <v>1117</v>
      </c>
      <c r="C300" s="14" t="s">
        <v>644</v>
      </c>
      <c r="D300" s="14" t="s">
        <v>238</v>
      </c>
      <c r="E300" s="14" t="s">
        <v>375</v>
      </c>
      <c r="F300" s="32" t="s">
        <v>350</v>
      </c>
      <c r="G300" s="2">
        <v>1</v>
      </c>
      <c r="H300" s="2" t="s">
        <v>537</v>
      </c>
      <c r="I300" s="10">
        <v>10</v>
      </c>
      <c r="J300" s="6">
        <v>8.5</v>
      </c>
      <c r="K300" s="2" t="s">
        <v>486</v>
      </c>
      <c r="L300" s="14" t="s">
        <v>415</v>
      </c>
      <c r="M300" s="2" t="s">
        <v>551</v>
      </c>
      <c r="N300" s="14" t="s">
        <v>509</v>
      </c>
      <c r="O300" s="14" t="s">
        <v>1269</v>
      </c>
      <c r="P300" s="2" t="s">
        <v>621</v>
      </c>
      <c r="Q300" s="10">
        <v>10</v>
      </c>
      <c r="W300" s="44">
        <f>Q300*X300</f>
        <v>1020</v>
      </c>
      <c r="X300" s="44">
        <f>12*Z300</f>
        <v>102</v>
      </c>
      <c r="Z300" s="22">
        <f>8+10/20</f>
        <v>8.5</v>
      </c>
      <c r="AH300" s="22">
        <f>W300/12</f>
        <v>85</v>
      </c>
      <c r="AI300">
        <v>8</v>
      </c>
      <c r="AJ300">
        <v>10</v>
      </c>
      <c r="AK300">
        <v>0</v>
      </c>
      <c r="AL300" s="6">
        <f>Z300*1</f>
        <v>8.5</v>
      </c>
      <c r="AX300" s="6">
        <v>8.5</v>
      </c>
      <c r="BN300" s="22">
        <f>16/20</f>
        <v>0.8</v>
      </c>
      <c r="BO300" s="22">
        <f>1/20+4/240</f>
        <v>0.06666666666666667</v>
      </c>
      <c r="BQ300" s="22">
        <f>BN300+BO300+BP300</f>
        <v>0.8666666666666667</v>
      </c>
      <c r="BR300" s="22">
        <f>Z300+BQ300</f>
        <v>9.366666666666667</v>
      </c>
      <c r="BS300" s="37">
        <f>BN300/BR300</f>
        <v>0.08540925266903915</v>
      </c>
      <c r="BT300" s="37">
        <f>BO300/BR300</f>
        <v>0.0071174377224199285</v>
      </c>
      <c r="BU300" s="37">
        <f>BQ300/BR300</f>
        <v>0.09252669039145907</v>
      </c>
      <c r="BY300" s="44">
        <f>W300+(BQ300*12*Q300)+BV300</f>
        <v>1124</v>
      </c>
      <c r="BZ300" s="44">
        <f>BY300/Q300</f>
        <v>112.4</v>
      </c>
      <c r="CL300">
        <f>A300*1</f>
        <v>1473</v>
      </c>
      <c r="CM300" s="2" t="s">
        <v>551</v>
      </c>
      <c r="CN300" t="s">
        <v>89</v>
      </c>
    </row>
    <row r="301" spans="1:92" ht="12.75">
      <c r="A301" s="18">
        <v>1473</v>
      </c>
      <c r="B301" s="14" t="s">
        <v>1117</v>
      </c>
      <c r="C301" s="14" t="s">
        <v>644</v>
      </c>
      <c r="D301" s="14" t="s">
        <v>238</v>
      </c>
      <c r="E301" s="14" t="s">
        <v>375</v>
      </c>
      <c r="F301" s="32" t="s">
        <v>351</v>
      </c>
      <c r="G301" s="2">
        <v>1</v>
      </c>
      <c r="H301" s="2" t="s">
        <v>537</v>
      </c>
      <c r="I301" s="10">
        <v>5</v>
      </c>
      <c r="J301" s="6">
        <v>8.5</v>
      </c>
      <c r="K301" s="2" t="s">
        <v>485</v>
      </c>
      <c r="L301" s="14" t="s">
        <v>415</v>
      </c>
      <c r="M301" s="2" t="s">
        <v>550</v>
      </c>
      <c r="N301" s="14" t="s">
        <v>509</v>
      </c>
      <c r="O301" s="14" t="s">
        <v>897</v>
      </c>
      <c r="P301" s="2" t="s">
        <v>621</v>
      </c>
      <c r="Q301" s="10">
        <v>5</v>
      </c>
      <c r="W301" s="44">
        <f>Q301*X301</f>
        <v>510</v>
      </c>
      <c r="X301" s="44">
        <f>12*Z301</f>
        <v>102</v>
      </c>
      <c r="Z301" s="22">
        <f>8+10/20</f>
        <v>8.5</v>
      </c>
      <c r="AH301" s="22">
        <f>W301/12</f>
        <v>42.5</v>
      </c>
      <c r="AI301">
        <v>8</v>
      </c>
      <c r="AJ301">
        <v>10</v>
      </c>
      <c r="AK301">
        <v>0</v>
      </c>
      <c r="AL301" s="6">
        <f>Z301*1</f>
        <v>8.5</v>
      </c>
      <c r="AX301" s="6">
        <v>8.5</v>
      </c>
      <c r="BN301" s="22">
        <f>10/20</f>
        <v>0.5</v>
      </c>
      <c r="BO301" s="22">
        <f>1/20+4/240</f>
        <v>0.06666666666666667</v>
      </c>
      <c r="BQ301" s="22">
        <f>BN301+BO301+BP301</f>
        <v>0.5666666666666667</v>
      </c>
      <c r="BR301" s="22">
        <f>Z301+BQ301</f>
        <v>9.066666666666666</v>
      </c>
      <c r="BS301" s="37">
        <f>BN301/BR301</f>
        <v>0.05514705882352941</v>
      </c>
      <c r="BT301" s="37">
        <f>BO301/BR301</f>
        <v>0.007352941176470588</v>
      </c>
      <c r="BU301" s="37">
        <f>BQ301/BR301</f>
        <v>0.0625</v>
      </c>
      <c r="BY301" s="44">
        <f>W301+(BQ301*12*Q301)+BV301</f>
        <v>544</v>
      </c>
      <c r="BZ301" s="44">
        <f>BY301/Q301</f>
        <v>108.8</v>
      </c>
      <c r="CL301">
        <f>A301*1</f>
        <v>1473</v>
      </c>
      <c r="CM301" s="2" t="s">
        <v>550</v>
      </c>
      <c r="CN301" t="s">
        <v>2</v>
      </c>
    </row>
    <row r="302" spans="1:91" ht="12.75">
      <c r="A302" s="18"/>
      <c r="E302" s="14"/>
      <c r="F302" s="32"/>
      <c r="G302" s="2"/>
      <c r="M302" s="2"/>
      <c r="W302" s="44"/>
      <c r="X302" s="44"/>
      <c r="AH302" s="22"/>
      <c r="AX302" s="6"/>
      <c r="BN302" s="22"/>
      <c r="BO302" s="22"/>
      <c r="BQ302" s="22"/>
      <c r="BR302" s="22"/>
      <c r="BY302" s="44"/>
      <c r="BZ302" s="44"/>
      <c r="CM302" s="2"/>
    </row>
    <row r="303" spans="1:91" ht="12.75">
      <c r="A303" s="18">
        <v>1473</v>
      </c>
      <c r="B303" s="14" t="s">
        <v>1117</v>
      </c>
      <c r="C303" s="14" t="s">
        <v>644</v>
      </c>
      <c r="D303" s="14" t="s">
        <v>238</v>
      </c>
      <c r="E303" s="14" t="s">
        <v>375</v>
      </c>
      <c r="F303" s="32" t="s">
        <v>352</v>
      </c>
      <c r="G303" s="2">
        <v>2</v>
      </c>
      <c r="H303" s="2" t="s">
        <v>537</v>
      </c>
      <c r="I303" s="10">
        <v>1</v>
      </c>
      <c r="J303" s="6">
        <v>3</v>
      </c>
      <c r="K303" s="2" t="s">
        <v>610</v>
      </c>
      <c r="L303" s="14" t="s">
        <v>415</v>
      </c>
      <c r="M303" s="2" t="s">
        <v>544</v>
      </c>
      <c r="N303" s="14" t="s">
        <v>507</v>
      </c>
      <c r="O303" s="14" t="s">
        <v>442</v>
      </c>
      <c r="P303" s="2" t="s">
        <v>5</v>
      </c>
      <c r="Q303" s="10">
        <v>1</v>
      </c>
      <c r="W303" s="44">
        <f aca="true" t="shared" si="82" ref="W303:W311">Q303*X303</f>
        <v>36</v>
      </c>
      <c r="X303" s="44">
        <f aca="true" t="shared" si="83" ref="X303:X311">12*Z303</f>
        <v>36</v>
      </c>
      <c r="Z303" s="22">
        <v>3</v>
      </c>
      <c r="AE303">
        <v>3</v>
      </c>
      <c r="AF303">
        <v>0</v>
      </c>
      <c r="AG303">
        <v>0</v>
      </c>
      <c r="AH303" s="22">
        <f aca="true" t="shared" si="84" ref="AH303:AH312">W303/12</f>
        <v>3</v>
      </c>
      <c r="AI303">
        <v>3</v>
      </c>
      <c r="AJ303">
        <v>0</v>
      </c>
      <c r="AK303">
        <v>0</v>
      </c>
      <c r="AL303" s="6">
        <f aca="true" t="shared" si="85" ref="AL303:AL312">Z303*1</f>
        <v>3</v>
      </c>
      <c r="AN303" s="6">
        <v>3</v>
      </c>
      <c r="BY303" s="44">
        <f aca="true" t="shared" si="86" ref="BY303:BY312">W303+(BQ303*12*Q303)+BV303</f>
        <v>36</v>
      </c>
      <c r="BZ303" s="44">
        <f aca="true" t="shared" si="87" ref="BZ303:BZ312">BY303/Q303</f>
        <v>36</v>
      </c>
      <c r="CL303">
        <f aca="true" t="shared" si="88" ref="CL303:CL312">A303*1</f>
        <v>1473</v>
      </c>
      <c r="CM303" s="2" t="s">
        <v>544</v>
      </c>
    </row>
    <row r="304" spans="1:91" ht="12.75">
      <c r="A304" s="18">
        <v>1473</v>
      </c>
      <c r="B304" s="14" t="s">
        <v>1117</v>
      </c>
      <c r="C304" s="14" t="s">
        <v>644</v>
      </c>
      <c r="D304" s="14" t="s">
        <v>238</v>
      </c>
      <c r="E304" s="14" t="s">
        <v>375</v>
      </c>
      <c r="F304" s="32" t="s">
        <v>353</v>
      </c>
      <c r="G304" s="2">
        <v>2</v>
      </c>
      <c r="H304" s="2" t="s">
        <v>537</v>
      </c>
      <c r="I304" s="10">
        <v>1</v>
      </c>
      <c r="J304" s="6">
        <v>2.8</v>
      </c>
      <c r="K304" s="2" t="s">
        <v>610</v>
      </c>
      <c r="L304" s="14" t="s">
        <v>415</v>
      </c>
      <c r="M304" s="2" t="s">
        <v>544</v>
      </c>
      <c r="N304" s="14" t="s">
        <v>507</v>
      </c>
      <c r="O304" s="14" t="s">
        <v>442</v>
      </c>
      <c r="P304" s="2" t="s">
        <v>5</v>
      </c>
      <c r="Q304" s="10">
        <v>1</v>
      </c>
      <c r="W304" s="44">
        <f t="shared" si="82"/>
        <v>33.599999999999994</v>
      </c>
      <c r="X304" s="44">
        <f t="shared" si="83"/>
        <v>33.599999999999994</v>
      </c>
      <c r="Z304" s="22">
        <f>2+16/20</f>
        <v>2.8</v>
      </c>
      <c r="AE304">
        <v>2</v>
      </c>
      <c r="AF304">
        <v>16</v>
      </c>
      <c r="AG304">
        <v>0</v>
      </c>
      <c r="AH304" s="22">
        <f t="shared" si="84"/>
        <v>2.7999999999999994</v>
      </c>
      <c r="AI304">
        <v>2</v>
      </c>
      <c r="AJ304">
        <v>16</v>
      </c>
      <c r="AK304">
        <v>0</v>
      </c>
      <c r="AL304" s="6">
        <f t="shared" si="85"/>
        <v>2.8</v>
      </c>
      <c r="AN304" s="6">
        <v>2.8</v>
      </c>
      <c r="BY304" s="44">
        <f t="shared" si="86"/>
        <v>33.599999999999994</v>
      </c>
      <c r="BZ304" s="44">
        <f t="shared" si="87"/>
        <v>33.599999999999994</v>
      </c>
      <c r="CL304">
        <f t="shared" si="88"/>
        <v>1473</v>
      </c>
      <c r="CM304" s="2" t="s">
        <v>544</v>
      </c>
    </row>
    <row r="305" spans="1:91" ht="12.75">
      <c r="A305" s="18">
        <v>1473</v>
      </c>
      <c r="B305" s="14" t="s">
        <v>1117</v>
      </c>
      <c r="C305" s="14" t="s">
        <v>644</v>
      </c>
      <c r="D305" s="14" t="s">
        <v>238</v>
      </c>
      <c r="E305" s="14" t="s">
        <v>375</v>
      </c>
      <c r="F305" s="32" t="s">
        <v>354</v>
      </c>
      <c r="G305" s="2">
        <v>2</v>
      </c>
      <c r="H305" s="2" t="s">
        <v>5</v>
      </c>
      <c r="I305" s="10">
        <v>1</v>
      </c>
      <c r="J305" s="6">
        <v>3.2</v>
      </c>
      <c r="K305" s="2" t="s">
        <v>1487</v>
      </c>
      <c r="L305" s="14" t="s">
        <v>1414</v>
      </c>
      <c r="M305" s="2" t="s">
        <v>1490</v>
      </c>
      <c r="N305" s="14" t="s">
        <v>896</v>
      </c>
      <c r="O305" s="14" t="s">
        <v>442</v>
      </c>
      <c r="P305" s="2" t="s">
        <v>5</v>
      </c>
      <c r="Q305" s="10">
        <v>1</v>
      </c>
      <c r="W305" s="44">
        <f t="shared" si="82"/>
        <v>38.400000000000006</v>
      </c>
      <c r="X305" s="44">
        <f t="shared" si="83"/>
        <v>38.400000000000006</v>
      </c>
      <c r="Z305" s="22">
        <f>3+4/20</f>
        <v>3.2</v>
      </c>
      <c r="AE305">
        <v>3</v>
      </c>
      <c r="AF305">
        <v>4</v>
      </c>
      <c r="AG305">
        <v>0</v>
      </c>
      <c r="AH305" s="22">
        <f t="shared" si="84"/>
        <v>3.2000000000000006</v>
      </c>
      <c r="AI305">
        <v>3</v>
      </c>
      <c r="AJ305">
        <v>4</v>
      </c>
      <c r="AK305">
        <v>0</v>
      </c>
      <c r="AL305" s="6">
        <f t="shared" si="85"/>
        <v>3.2</v>
      </c>
      <c r="AN305" s="6">
        <v>3.2</v>
      </c>
      <c r="BY305" s="44">
        <f t="shared" si="86"/>
        <v>38.400000000000006</v>
      </c>
      <c r="BZ305" s="44">
        <f t="shared" si="87"/>
        <v>38.400000000000006</v>
      </c>
      <c r="CL305">
        <f t="shared" si="88"/>
        <v>1473</v>
      </c>
      <c r="CM305" s="2" t="s">
        <v>1490</v>
      </c>
    </row>
    <row r="306" spans="1:91" ht="12.75">
      <c r="A306" s="18">
        <v>1473</v>
      </c>
      <c r="B306" s="14" t="s">
        <v>1117</v>
      </c>
      <c r="C306" s="14" t="s">
        <v>644</v>
      </c>
      <c r="D306" s="14" t="s">
        <v>238</v>
      </c>
      <c r="E306" s="14" t="s">
        <v>375</v>
      </c>
      <c r="F306" s="32" t="s">
        <v>355</v>
      </c>
      <c r="G306" s="2">
        <v>2</v>
      </c>
      <c r="H306" s="2" t="s">
        <v>5</v>
      </c>
      <c r="I306" s="10">
        <v>2</v>
      </c>
      <c r="J306" s="6">
        <v>2.9</v>
      </c>
      <c r="K306" s="2" t="s">
        <v>1501</v>
      </c>
      <c r="L306" s="14" t="s">
        <v>1414</v>
      </c>
      <c r="M306" s="2" t="s">
        <v>1492</v>
      </c>
      <c r="N306" s="14" t="s">
        <v>1595</v>
      </c>
      <c r="O306" s="14" t="s">
        <v>1611</v>
      </c>
      <c r="P306" s="2" t="s">
        <v>1135</v>
      </c>
      <c r="Q306" s="10">
        <v>2</v>
      </c>
      <c r="W306" s="44">
        <f t="shared" si="82"/>
        <v>69.6</v>
      </c>
      <c r="X306" s="44">
        <f t="shared" si="83"/>
        <v>34.8</v>
      </c>
      <c r="Z306" s="22">
        <f>2+18/20</f>
        <v>2.9</v>
      </c>
      <c r="AH306" s="22">
        <f t="shared" si="84"/>
        <v>5.8</v>
      </c>
      <c r="AI306">
        <v>2</v>
      </c>
      <c r="AJ306">
        <v>18</v>
      </c>
      <c r="AK306">
        <v>0</v>
      </c>
      <c r="AL306" s="6">
        <f t="shared" si="85"/>
        <v>2.9</v>
      </c>
      <c r="AN306" s="6">
        <v>2.9</v>
      </c>
      <c r="BY306" s="44">
        <f t="shared" si="86"/>
        <v>69.6</v>
      </c>
      <c r="BZ306" s="44">
        <f t="shared" si="87"/>
        <v>34.8</v>
      </c>
      <c r="CL306">
        <f t="shared" si="88"/>
        <v>1473</v>
      </c>
      <c r="CM306" s="2" t="s">
        <v>1492</v>
      </c>
    </row>
    <row r="307" spans="1:91" ht="12.75">
      <c r="A307" s="18">
        <v>1473</v>
      </c>
      <c r="B307" s="14" t="s">
        <v>1117</v>
      </c>
      <c r="C307" s="14" t="s">
        <v>644</v>
      </c>
      <c r="D307" s="14" t="s">
        <v>238</v>
      </c>
      <c r="E307" s="14" t="s">
        <v>375</v>
      </c>
      <c r="F307" s="32" t="s">
        <v>356</v>
      </c>
      <c r="G307" s="2">
        <v>2</v>
      </c>
      <c r="H307" s="2" t="s">
        <v>5</v>
      </c>
      <c r="I307" s="10">
        <v>2.5</v>
      </c>
      <c r="J307" s="6">
        <v>2.7</v>
      </c>
      <c r="K307" s="2" t="s">
        <v>1501</v>
      </c>
      <c r="L307" s="14" t="s">
        <v>1414</v>
      </c>
      <c r="M307" s="2" t="s">
        <v>1492</v>
      </c>
      <c r="N307" s="14" t="s">
        <v>1595</v>
      </c>
      <c r="O307" s="14" t="s">
        <v>1611</v>
      </c>
      <c r="P307" s="2" t="s">
        <v>1135</v>
      </c>
      <c r="Q307" s="10">
        <v>2.5</v>
      </c>
      <c r="W307" s="44">
        <f t="shared" si="82"/>
        <v>81.00000000000001</v>
      </c>
      <c r="X307" s="44">
        <f t="shared" si="83"/>
        <v>32.400000000000006</v>
      </c>
      <c r="Z307" s="22">
        <f>2+14/20</f>
        <v>2.7</v>
      </c>
      <c r="AH307" s="22">
        <f t="shared" si="84"/>
        <v>6.750000000000001</v>
      </c>
      <c r="AI307">
        <v>2</v>
      </c>
      <c r="AJ307">
        <v>14</v>
      </c>
      <c r="AK307">
        <v>0</v>
      </c>
      <c r="AL307" s="6">
        <f t="shared" si="85"/>
        <v>2.7</v>
      </c>
      <c r="AN307" s="6">
        <v>2.7</v>
      </c>
      <c r="BY307" s="44">
        <f t="shared" si="86"/>
        <v>81.00000000000001</v>
      </c>
      <c r="BZ307" s="44">
        <f t="shared" si="87"/>
        <v>32.400000000000006</v>
      </c>
      <c r="CL307">
        <f t="shared" si="88"/>
        <v>1473</v>
      </c>
      <c r="CM307" s="2" t="s">
        <v>1492</v>
      </c>
    </row>
    <row r="308" spans="1:91" ht="12.75">
      <c r="A308" s="18">
        <v>1473</v>
      </c>
      <c r="B308" s="14" t="s">
        <v>1117</v>
      </c>
      <c r="C308" s="14" t="s">
        <v>644</v>
      </c>
      <c r="D308" s="14" t="s">
        <v>238</v>
      </c>
      <c r="E308" s="14" t="s">
        <v>375</v>
      </c>
      <c r="F308" s="32" t="s">
        <v>357</v>
      </c>
      <c r="G308" s="2">
        <v>2</v>
      </c>
      <c r="H308" s="2" t="s">
        <v>5</v>
      </c>
      <c r="I308" s="10">
        <v>1</v>
      </c>
      <c r="J308" s="6">
        <v>3.15</v>
      </c>
      <c r="K308" s="2" t="s">
        <v>1501</v>
      </c>
      <c r="L308" s="14" t="s">
        <v>1414</v>
      </c>
      <c r="M308" s="2" t="s">
        <v>1492</v>
      </c>
      <c r="N308" s="14" t="s">
        <v>1595</v>
      </c>
      <c r="O308" s="14" t="s">
        <v>1611</v>
      </c>
      <c r="P308" s="2" t="s">
        <v>1135</v>
      </c>
      <c r="Q308" s="10">
        <v>1</v>
      </c>
      <c r="W308" s="44">
        <f t="shared" si="82"/>
        <v>37.8</v>
      </c>
      <c r="X308" s="44">
        <f t="shared" si="83"/>
        <v>37.8</v>
      </c>
      <c r="Z308" s="22">
        <f>3+3/20</f>
        <v>3.15</v>
      </c>
      <c r="AE308">
        <v>3</v>
      </c>
      <c r="AF308">
        <v>3</v>
      </c>
      <c r="AG308">
        <v>0</v>
      </c>
      <c r="AH308" s="22">
        <f t="shared" si="84"/>
        <v>3.15</v>
      </c>
      <c r="AI308">
        <v>3</v>
      </c>
      <c r="AJ308">
        <v>3</v>
      </c>
      <c r="AK308">
        <v>0</v>
      </c>
      <c r="AL308" s="6">
        <f t="shared" si="85"/>
        <v>3.15</v>
      </c>
      <c r="AN308" s="6">
        <v>3.15</v>
      </c>
      <c r="BY308" s="44">
        <f t="shared" si="86"/>
        <v>37.8</v>
      </c>
      <c r="BZ308" s="44">
        <f t="shared" si="87"/>
        <v>37.8</v>
      </c>
      <c r="CL308">
        <f t="shared" si="88"/>
        <v>1473</v>
      </c>
      <c r="CM308" s="2" t="s">
        <v>1492</v>
      </c>
    </row>
    <row r="309" spans="1:91" ht="12.75">
      <c r="A309" s="18">
        <v>1473</v>
      </c>
      <c r="B309" s="14" t="s">
        <v>1117</v>
      </c>
      <c r="C309" s="14" t="s">
        <v>644</v>
      </c>
      <c r="D309" s="14" t="s">
        <v>238</v>
      </c>
      <c r="E309" s="14" t="s">
        <v>375</v>
      </c>
      <c r="F309" s="32" t="s">
        <v>358</v>
      </c>
      <c r="G309" s="2">
        <v>2</v>
      </c>
      <c r="H309" s="2" t="s">
        <v>5</v>
      </c>
      <c r="I309" s="10">
        <v>1</v>
      </c>
      <c r="J309" s="6">
        <v>2.8</v>
      </c>
      <c r="K309" s="2" t="s">
        <v>1501</v>
      </c>
      <c r="L309" s="14" t="s">
        <v>1414</v>
      </c>
      <c r="M309" s="2" t="s">
        <v>1492</v>
      </c>
      <c r="N309" s="14" t="s">
        <v>1595</v>
      </c>
      <c r="O309" s="14" t="s">
        <v>1611</v>
      </c>
      <c r="P309" s="2" t="s">
        <v>1135</v>
      </c>
      <c r="Q309" s="10">
        <v>1</v>
      </c>
      <c r="W309" s="44">
        <f t="shared" si="82"/>
        <v>33.599999999999994</v>
      </c>
      <c r="X309" s="44">
        <f t="shared" si="83"/>
        <v>33.599999999999994</v>
      </c>
      <c r="Z309" s="22">
        <f>2+16/20</f>
        <v>2.8</v>
      </c>
      <c r="AE309">
        <v>2</v>
      </c>
      <c r="AF309">
        <v>16</v>
      </c>
      <c r="AG309">
        <v>0</v>
      </c>
      <c r="AH309" s="22">
        <f t="shared" si="84"/>
        <v>2.7999999999999994</v>
      </c>
      <c r="AI309">
        <v>2</v>
      </c>
      <c r="AJ309">
        <v>16</v>
      </c>
      <c r="AK309">
        <v>0</v>
      </c>
      <c r="AL309" s="6">
        <f t="shared" si="85"/>
        <v>2.8</v>
      </c>
      <c r="AN309" s="6">
        <v>2.8</v>
      </c>
      <c r="BY309" s="44">
        <f t="shared" si="86"/>
        <v>33.599999999999994</v>
      </c>
      <c r="BZ309" s="44">
        <f t="shared" si="87"/>
        <v>33.599999999999994</v>
      </c>
      <c r="CL309">
        <f t="shared" si="88"/>
        <v>1473</v>
      </c>
      <c r="CM309" s="2" t="s">
        <v>1492</v>
      </c>
    </row>
    <row r="310" spans="1:92" ht="12.75">
      <c r="A310" s="18">
        <v>1473</v>
      </c>
      <c r="B310" s="14" t="s">
        <v>1117</v>
      </c>
      <c r="C310" s="14" t="s">
        <v>644</v>
      </c>
      <c r="D310" s="14" t="s">
        <v>238</v>
      </c>
      <c r="E310" s="14" t="s">
        <v>375</v>
      </c>
      <c r="F310" s="32" t="s">
        <v>359</v>
      </c>
      <c r="G310" s="2">
        <v>2</v>
      </c>
      <c r="H310" s="2" t="s">
        <v>1202</v>
      </c>
      <c r="I310" s="10">
        <v>3</v>
      </c>
      <c r="J310" s="6">
        <v>1.8816666666666666</v>
      </c>
      <c r="K310" s="2" t="s">
        <v>483</v>
      </c>
      <c r="L310" s="14" t="s">
        <v>415</v>
      </c>
      <c r="M310" s="2" t="s">
        <v>1204</v>
      </c>
      <c r="N310" s="14" t="s">
        <v>1201</v>
      </c>
      <c r="O310" s="14" t="s">
        <v>416</v>
      </c>
      <c r="P310" s="2" t="s">
        <v>5</v>
      </c>
      <c r="Q310" s="10">
        <v>3</v>
      </c>
      <c r="W310" s="44">
        <f t="shared" si="82"/>
        <v>67.74</v>
      </c>
      <c r="X310" s="44">
        <f t="shared" si="83"/>
        <v>22.58</v>
      </c>
      <c r="Z310" s="22">
        <f>(9+8/20+2/240)/5</f>
        <v>1.8816666666666666</v>
      </c>
      <c r="AH310" s="22">
        <f t="shared" si="84"/>
        <v>5.645</v>
      </c>
      <c r="AI310">
        <v>1</v>
      </c>
      <c r="AJ310">
        <v>17</v>
      </c>
      <c r="AK310">
        <v>5</v>
      </c>
      <c r="AL310" s="6">
        <f t="shared" si="85"/>
        <v>1.8816666666666666</v>
      </c>
      <c r="BY310" s="44">
        <f t="shared" si="86"/>
        <v>67.74</v>
      </c>
      <c r="BZ310" s="44">
        <f t="shared" si="87"/>
        <v>22.58</v>
      </c>
      <c r="CL310">
        <f t="shared" si="88"/>
        <v>1473</v>
      </c>
      <c r="CM310" s="2" t="s">
        <v>1204</v>
      </c>
      <c r="CN310" t="s">
        <v>50</v>
      </c>
    </row>
    <row r="311" spans="1:91" ht="12.75">
      <c r="A311" s="18">
        <v>1473</v>
      </c>
      <c r="B311" s="14" t="s">
        <v>1117</v>
      </c>
      <c r="C311" s="14" t="s">
        <v>644</v>
      </c>
      <c r="D311" s="14" t="s">
        <v>238</v>
      </c>
      <c r="E311" s="14" t="s">
        <v>375</v>
      </c>
      <c r="F311" s="32" t="s">
        <v>359</v>
      </c>
      <c r="G311" s="2">
        <v>2</v>
      </c>
      <c r="H311" s="2" t="s">
        <v>1202</v>
      </c>
      <c r="I311" s="10">
        <v>2</v>
      </c>
      <c r="J311" s="6">
        <v>1.8816666666666666</v>
      </c>
      <c r="K311" s="2" t="s">
        <v>1002</v>
      </c>
      <c r="L311" s="14" t="s">
        <v>415</v>
      </c>
      <c r="M311" s="2" t="s">
        <v>1207</v>
      </c>
      <c r="N311" s="14" t="s">
        <v>1201</v>
      </c>
      <c r="O311" s="14" t="s">
        <v>897</v>
      </c>
      <c r="P311" s="2" t="s">
        <v>5</v>
      </c>
      <c r="Q311" s="10">
        <v>2</v>
      </c>
      <c r="W311" s="44">
        <f t="shared" si="82"/>
        <v>45.16</v>
      </c>
      <c r="X311" s="44">
        <f t="shared" si="83"/>
        <v>22.58</v>
      </c>
      <c r="Z311" s="22">
        <v>1.8816666666666666</v>
      </c>
      <c r="AH311" s="22">
        <f t="shared" si="84"/>
        <v>3.763333333333333</v>
      </c>
      <c r="AI311">
        <v>1</v>
      </c>
      <c r="AJ311">
        <v>17</v>
      </c>
      <c r="AK311">
        <v>5</v>
      </c>
      <c r="AL311" s="6">
        <f t="shared" si="85"/>
        <v>1.8816666666666666</v>
      </c>
      <c r="BY311" s="44">
        <f t="shared" si="86"/>
        <v>45.16</v>
      </c>
      <c r="BZ311" s="44">
        <f t="shared" si="87"/>
        <v>22.58</v>
      </c>
      <c r="CL311">
        <f t="shared" si="88"/>
        <v>1473</v>
      </c>
      <c r="CM311" s="2" t="s">
        <v>1207</v>
      </c>
    </row>
    <row r="312" spans="1:92" ht="12.75">
      <c r="A312" s="18">
        <v>1473</v>
      </c>
      <c r="B312" s="14" t="s">
        <v>1117</v>
      </c>
      <c r="C312" s="14" t="s">
        <v>644</v>
      </c>
      <c r="D312" s="14" t="s">
        <v>238</v>
      </c>
      <c r="E312" s="14" t="s">
        <v>375</v>
      </c>
      <c r="F312" s="32" t="s">
        <v>360</v>
      </c>
      <c r="G312" s="2">
        <v>2</v>
      </c>
      <c r="H312" s="2" t="s">
        <v>758</v>
      </c>
      <c r="I312" s="10">
        <v>8</v>
      </c>
      <c r="J312" s="6">
        <v>0.5244791666666667</v>
      </c>
      <c r="K312" s="2" t="s">
        <v>753</v>
      </c>
      <c r="L312" s="14" t="s">
        <v>415</v>
      </c>
      <c r="M312" s="2" t="s">
        <v>765</v>
      </c>
      <c r="N312" s="14" t="s">
        <v>773</v>
      </c>
      <c r="O312" s="14" t="s">
        <v>1636</v>
      </c>
      <c r="P312" s="2" t="s">
        <v>387</v>
      </c>
      <c r="Q312" s="10">
        <v>8</v>
      </c>
      <c r="W312" s="44">
        <f>12*(4+3/20+11/240)</f>
        <v>50.35000000000001</v>
      </c>
      <c r="X312" s="44">
        <f>W312/Q312</f>
        <v>6.293750000000001</v>
      </c>
      <c r="Z312" s="22">
        <f>X312/12</f>
        <v>0.5244791666666667</v>
      </c>
      <c r="AE312">
        <v>4</v>
      </c>
      <c r="AF312">
        <v>3</v>
      </c>
      <c r="AG312">
        <v>11</v>
      </c>
      <c r="AH312" s="22">
        <f t="shared" si="84"/>
        <v>4.195833333333334</v>
      </c>
      <c r="AL312" s="6">
        <f t="shared" si="85"/>
        <v>0.5244791666666667</v>
      </c>
      <c r="BI312" s="6">
        <v>0.5244791666666667</v>
      </c>
      <c r="BY312" s="44">
        <f t="shared" si="86"/>
        <v>50.35000000000001</v>
      </c>
      <c r="BZ312" s="44">
        <f t="shared" si="87"/>
        <v>6.293750000000001</v>
      </c>
      <c r="CL312">
        <f t="shared" si="88"/>
        <v>1473</v>
      </c>
      <c r="CM312" s="2" t="s">
        <v>765</v>
      </c>
      <c r="CN312" t="s">
        <v>53</v>
      </c>
    </row>
    <row r="314" spans="1:91" ht="12.75">
      <c r="A314" s="18">
        <v>1473</v>
      </c>
      <c r="B314" s="14" t="s">
        <v>1238</v>
      </c>
      <c r="C314" s="14" t="s">
        <v>644</v>
      </c>
      <c r="D314" s="14" t="s">
        <v>239</v>
      </c>
      <c r="E314" s="14" t="s">
        <v>376</v>
      </c>
      <c r="F314" s="32" t="s">
        <v>361</v>
      </c>
      <c r="G314" s="2"/>
      <c r="H314" s="2" t="s">
        <v>537</v>
      </c>
      <c r="I314" s="10">
        <v>8</v>
      </c>
      <c r="J314" s="6">
        <v>6.25</v>
      </c>
      <c r="K314" s="2" t="s">
        <v>841</v>
      </c>
      <c r="L314" s="14" t="s">
        <v>415</v>
      </c>
      <c r="M314" s="2" t="s">
        <v>556</v>
      </c>
      <c r="N314" s="14" t="s">
        <v>509</v>
      </c>
      <c r="O314" s="14" t="s">
        <v>440</v>
      </c>
      <c r="P314" s="2" t="s">
        <v>1660</v>
      </c>
      <c r="Q314" s="10">
        <v>8</v>
      </c>
      <c r="W314" s="44">
        <f>Q314*X314</f>
        <v>600</v>
      </c>
      <c r="X314" s="44">
        <f>12*Z314</f>
        <v>75</v>
      </c>
      <c r="Z314" s="22">
        <f>6+5/20</f>
        <v>6.25</v>
      </c>
      <c r="AH314" s="22">
        <f>W314/12</f>
        <v>50</v>
      </c>
      <c r="AI314">
        <v>6</v>
      </c>
      <c r="AJ314">
        <v>5</v>
      </c>
      <c r="AK314">
        <v>0</v>
      </c>
      <c r="AL314" s="6">
        <f>Z314*1</f>
        <v>6.25</v>
      </c>
      <c r="BY314" s="44">
        <f>W314+(BQ314*12*Q314)+BV314</f>
        <v>600</v>
      </c>
      <c r="BZ314" s="44">
        <f>BY314/Q314</f>
        <v>75</v>
      </c>
      <c r="CL314">
        <f>A314*1</f>
        <v>1473</v>
      </c>
      <c r="CM314" s="2" t="s">
        <v>556</v>
      </c>
    </row>
    <row r="315" spans="1:91" ht="12.75">
      <c r="A315" s="18">
        <v>1473</v>
      </c>
      <c r="B315" s="14" t="s">
        <v>1238</v>
      </c>
      <c r="C315" s="14" t="s">
        <v>644</v>
      </c>
      <c r="D315" s="14" t="s">
        <v>239</v>
      </c>
      <c r="E315" s="14" t="s">
        <v>376</v>
      </c>
      <c r="F315" s="32" t="s">
        <v>362</v>
      </c>
      <c r="G315" s="2"/>
      <c r="H315" s="2" t="s">
        <v>537</v>
      </c>
      <c r="I315" s="10">
        <v>5</v>
      </c>
      <c r="J315" s="6">
        <v>6.5</v>
      </c>
      <c r="K315" s="2" t="s">
        <v>876</v>
      </c>
      <c r="L315" s="14" t="s">
        <v>415</v>
      </c>
      <c r="M315" s="2" t="s">
        <v>600</v>
      </c>
      <c r="N315" s="14" t="s">
        <v>509</v>
      </c>
      <c r="O315" s="14" t="s">
        <v>1668</v>
      </c>
      <c r="P315" s="2" t="s">
        <v>1660</v>
      </c>
      <c r="Q315" s="10">
        <v>5</v>
      </c>
      <c r="W315" s="44">
        <f>Q315*X315</f>
        <v>390</v>
      </c>
      <c r="X315" s="44">
        <f>12*Z315</f>
        <v>78</v>
      </c>
      <c r="Z315" s="22">
        <f>6+10/20</f>
        <v>6.5</v>
      </c>
      <c r="AH315" s="22">
        <f>W315/12</f>
        <v>32.5</v>
      </c>
      <c r="AI315">
        <v>6</v>
      </c>
      <c r="AJ315">
        <v>10</v>
      </c>
      <c r="AK315">
        <v>0</v>
      </c>
      <c r="AL315" s="6">
        <f>Z315*1</f>
        <v>6.5</v>
      </c>
      <c r="BY315" s="44">
        <f>W315+(BQ315*12*Q315)+BV315</f>
        <v>390</v>
      </c>
      <c r="BZ315" s="44">
        <f>BY315/Q315</f>
        <v>78</v>
      </c>
      <c r="CL315">
        <f>A315*1</f>
        <v>1473</v>
      </c>
      <c r="CM315" s="2" t="s">
        <v>600</v>
      </c>
    </row>
    <row r="316" spans="1:91" ht="12.75">
      <c r="A316" s="18">
        <v>1473</v>
      </c>
      <c r="B316" s="14" t="s">
        <v>1238</v>
      </c>
      <c r="C316" s="14" t="s">
        <v>644</v>
      </c>
      <c r="D316" s="14" t="s">
        <v>239</v>
      </c>
      <c r="E316" s="14" t="s">
        <v>376</v>
      </c>
      <c r="F316" s="32" t="s">
        <v>363</v>
      </c>
      <c r="G316" s="2"/>
      <c r="H316" s="2" t="s">
        <v>537</v>
      </c>
      <c r="I316" s="10">
        <v>2</v>
      </c>
      <c r="J316" s="6">
        <v>6.25</v>
      </c>
      <c r="K316" s="2" t="s">
        <v>841</v>
      </c>
      <c r="L316" s="14" t="s">
        <v>415</v>
      </c>
      <c r="M316" s="2" t="s">
        <v>556</v>
      </c>
      <c r="N316" s="14" t="s">
        <v>509</v>
      </c>
      <c r="O316" s="14" t="s">
        <v>440</v>
      </c>
      <c r="P316" s="2" t="s">
        <v>1660</v>
      </c>
      <c r="Q316" s="10">
        <v>2</v>
      </c>
      <c r="W316" s="44">
        <f>Q316*X316</f>
        <v>150</v>
      </c>
      <c r="X316" s="44">
        <f>12*Z316</f>
        <v>75</v>
      </c>
      <c r="Z316" s="22">
        <f>6+5/20</f>
        <v>6.25</v>
      </c>
      <c r="AH316" s="22">
        <f>W316/12</f>
        <v>12.5</v>
      </c>
      <c r="AI316">
        <v>6</v>
      </c>
      <c r="AJ316">
        <v>5</v>
      </c>
      <c r="AK316">
        <v>0</v>
      </c>
      <c r="AL316" s="6">
        <f>Z316*1</f>
        <v>6.25</v>
      </c>
      <c r="BY316" s="44">
        <f>W316+(BQ316*12*Q316)+BV316</f>
        <v>150</v>
      </c>
      <c r="BZ316" s="44">
        <f>BY316/Q316</f>
        <v>75</v>
      </c>
      <c r="CL316">
        <f>A316*1</f>
        <v>1473</v>
      </c>
      <c r="CM316" s="2" t="s">
        <v>556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DA3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7" max="7" width="8.7109375" style="0" customWidth="1"/>
    <col min="8" max="8" width="13.28125" style="0" customWidth="1"/>
    <col min="9" max="9" width="44.421875" style="0" customWidth="1"/>
    <col min="10" max="10" width="7.57421875" style="0" customWidth="1"/>
    <col min="11" max="11" width="25.8515625" style="0" customWidth="1"/>
    <col min="12" max="12" width="6.28125" style="0" customWidth="1"/>
    <col min="13" max="13" width="7.57421875" style="0" customWidth="1"/>
    <col min="14" max="14" width="55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5.8515625" style="0" customWidth="1"/>
    <col min="90" max="90" width="167.28125" style="0" customWidth="1"/>
    <col min="91" max="91" width="13.421875" style="0" customWidth="1"/>
  </cols>
  <sheetData>
    <row r="1" spans="1:88" ht="12.75">
      <c r="A1" s="14"/>
      <c r="B1" s="18" t="s">
        <v>1202</v>
      </c>
      <c r="C1" s="4"/>
      <c r="D1" s="3"/>
      <c r="E1" s="4" t="s">
        <v>547</v>
      </c>
      <c r="F1" s="25"/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1453</v>
      </c>
      <c r="B9" s="14" t="s">
        <v>1117</v>
      </c>
      <c r="C9" s="14" t="s">
        <v>644</v>
      </c>
      <c r="D9" s="14" t="s">
        <v>14</v>
      </c>
      <c r="E9" s="14" t="s">
        <v>10</v>
      </c>
      <c r="F9" s="2" t="s">
        <v>99</v>
      </c>
      <c r="G9" s="2">
        <v>1</v>
      </c>
      <c r="H9" s="2" t="s">
        <v>1202</v>
      </c>
      <c r="I9" s="2" t="s">
        <v>1223</v>
      </c>
      <c r="J9" s="14" t="s">
        <v>415</v>
      </c>
      <c r="K9" s="2" t="s">
        <v>1211</v>
      </c>
      <c r="L9" s="14" t="s">
        <v>1201</v>
      </c>
      <c r="M9" s="14" t="s">
        <v>1349</v>
      </c>
      <c r="N9" s="2" t="s">
        <v>387</v>
      </c>
      <c r="O9" s="10">
        <v>2</v>
      </c>
      <c r="Q9">
        <v>67.25</v>
      </c>
      <c r="R9" s="9"/>
      <c r="S9" s="9"/>
      <c r="T9" s="9"/>
      <c r="U9" s="44">
        <v>47.075</v>
      </c>
      <c r="V9">
        <v>23.5375</v>
      </c>
      <c r="W9" s="22">
        <v>14</v>
      </c>
      <c r="X9" s="22">
        <v>1.9614583333333335</v>
      </c>
      <c r="AB9" s="44"/>
      <c r="AF9" s="22">
        <v>3.922916666666667</v>
      </c>
      <c r="AJ9" s="22">
        <v>1.9614583333333335</v>
      </c>
      <c r="AK9" s="22">
        <v>1.1666666666666667</v>
      </c>
      <c r="BG9" s="22">
        <v>1.9614583333333335</v>
      </c>
      <c r="BP9" s="33"/>
      <c r="BS9" s="20"/>
      <c r="BW9" s="44">
        <v>47.075</v>
      </c>
      <c r="BX9" s="44">
        <v>23.5375</v>
      </c>
      <c r="CJ9">
        <v>1453</v>
      </c>
      <c r="CK9" s="2" t="s">
        <v>1211</v>
      </c>
      <c r="CL9" t="s">
        <v>1178</v>
      </c>
    </row>
    <row r="10" spans="1:90" ht="12.75">
      <c r="A10" s="15">
        <v>1453</v>
      </c>
      <c r="B10" s="14" t="s">
        <v>1117</v>
      </c>
      <c r="C10" s="14" t="s">
        <v>644</v>
      </c>
      <c r="D10" s="14" t="s">
        <v>14</v>
      </c>
      <c r="E10" s="14" t="s">
        <v>10</v>
      </c>
      <c r="F10" s="2" t="s">
        <v>102</v>
      </c>
      <c r="G10" s="2">
        <v>1</v>
      </c>
      <c r="H10" s="2" t="s">
        <v>1202</v>
      </c>
      <c r="I10" s="2" t="s">
        <v>1224</v>
      </c>
      <c r="J10" s="14" t="s">
        <v>415</v>
      </c>
      <c r="K10" s="2" t="s">
        <v>1213</v>
      </c>
      <c r="L10" s="14" t="s">
        <v>1201</v>
      </c>
      <c r="M10" s="14" t="s">
        <v>1636</v>
      </c>
      <c r="N10" s="2" t="s">
        <v>387</v>
      </c>
      <c r="O10" s="10">
        <v>2</v>
      </c>
      <c r="P10" s="10"/>
      <c r="Q10" s="10">
        <v>68.25</v>
      </c>
      <c r="R10" s="9"/>
      <c r="S10" s="9"/>
      <c r="T10" s="9"/>
      <c r="U10" s="44">
        <v>47.775</v>
      </c>
      <c r="W10" s="22">
        <v>14</v>
      </c>
      <c r="X10" s="22"/>
      <c r="AB10" s="44"/>
      <c r="AF10" s="22">
        <v>3.98125</v>
      </c>
      <c r="AJ10" s="22"/>
      <c r="AK10" s="22">
        <v>1.1666666666666667</v>
      </c>
      <c r="BG10" s="22"/>
      <c r="BP10" s="19"/>
      <c r="BS10" s="20"/>
      <c r="BW10" s="44">
        <v>47.775</v>
      </c>
      <c r="BX10" s="44"/>
      <c r="CJ10">
        <v>1453</v>
      </c>
      <c r="CK10" s="2" t="s">
        <v>1213</v>
      </c>
      <c r="CL10" t="s">
        <v>84</v>
      </c>
    </row>
    <row r="11" spans="1:89" ht="12.75">
      <c r="A11" s="18"/>
      <c r="B11" s="14"/>
      <c r="C11" s="14"/>
      <c r="D11" s="14"/>
      <c r="E11" s="14"/>
      <c r="F11" s="3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9"/>
      <c r="S11" s="9"/>
      <c r="T11" s="9"/>
      <c r="U11" s="44"/>
      <c r="V11" s="44"/>
      <c r="W11" s="22"/>
      <c r="X11" s="22"/>
      <c r="AF11" s="22"/>
      <c r="BS11" s="20"/>
      <c r="BW11" s="44"/>
      <c r="BX11" s="44"/>
      <c r="CK11" s="2"/>
    </row>
    <row r="12" spans="1:90" ht="12.75">
      <c r="A12" s="15">
        <v>1453</v>
      </c>
      <c r="B12" s="14" t="s">
        <v>1117</v>
      </c>
      <c r="C12" s="14" t="s">
        <v>644</v>
      </c>
      <c r="D12" s="14" t="s">
        <v>14</v>
      </c>
      <c r="E12" s="14" t="s">
        <v>10</v>
      </c>
      <c r="F12" s="2" t="s">
        <v>100</v>
      </c>
      <c r="G12" s="2">
        <v>2</v>
      </c>
      <c r="H12" s="2" t="s">
        <v>1202</v>
      </c>
      <c r="I12" s="2" t="s">
        <v>1560</v>
      </c>
      <c r="J12" s="14" t="s">
        <v>415</v>
      </c>
      <c r="K12" s="2" t="s">
        <v>1212</v>
      </c>
      <c r="L12" s="14" t="s">
        <v>1201</v>
      </c>
      <c r="M12" s="14" t="s">
        <v>1535</v>
      </c>
      <c r="N12" s="2" t="s">
        <v>387</v>
      </c>
      <c r="O12" s="10">
        <v>1</v>
      </c>
      <c r="Q12" s="5">
        <v>32</v>
      </c>
      <c r="R12" s="9"/>
      <c r="S12" s="9"/>
      <c r="T12" s="9"/>
      <c r="U12" s="44">
        <v>22.4</v>
      </c>
      <c r="V12" s="44">
        <v>22.4</v>
      </c>
      <c r="W12" s="22">
        <v>14</v>
      </c>
      <c r="X12" s="22">
        <v>1.8666666666666665</v>
      </c>
      <c r="AB12" s="44"/>
      <c r="AF12" s="22">
        <v>1.8666666666666665</v>
      </c>
      <c r="AJ12" s="22">
        <v>1.8666666666666665</v>
      </c>
      <c r="AK12" s="22">
        <v>1.1666666666666667</v>
      </c>
      <c r="BG12" s="22">
        <v>1.8666666666666665</v>
      </c>
      <c r="BP12" s="33"/>
      <c r="BS12" s="20"/>
      <c r="BW12" s="44">
        <v>22.4</v>
      </c>
      <c r="BX12" s="44">
        <v>22.4</v>
      </c>
      <c r="CJ12">
        <v>1453</v>
      </c>
      <c r="CK12" s="2" t="s">
        <v>1212</v>
      </c>
      <c r="CL12" t="s">
        <v>1176</v>
      </c>
    </row>
    <row r="13" spans="1:89" ht="12.75">
      <c r="A13" s="15">
        <v>1453</v>
      </c>
      <c r="B13" s="14" t="s">
        <v>1117</v>
      </c>
      <c r="C13" s="14" t="s">
        <v>644</v>
      </c>
      <c r="D13" s="14" t="s">
        <v>14</v>
      </c>
      <c r="E13" s="14" t="s">
        <v>10</v>
      </c>
      <c r="F13" s="2" t="s">
        <v>101</v>
      </c>
      <c r="G13" s="2">
        <v>2</v>
      </c>
      <c r="H13" s="2" t="s">
        <v>1202</v>
      </c>
      <c r="I13" s="2" t="s">
        <v>1560</v>
      </c>
      <c r="J13" s="14" t="s">
        <v>415</v>
      </c>
      <c r="K13" s="2" t="s">
        <v>1212</v>
      </c>
      <c r="L13" s="14" t="s">
        <v>1201</v>
      </c>
      <c r="M13" s="14" t="s">
        <v>1535</v>
      </c>
      <c r="N13" s="2" t="s">
        <v>387</v>
      </c>
      <c r="O13" s="10">
        <v>1</v>
      </c>
      <c r="P13" s="10"/>
      <c r="Q13">
        <v>36.25</v>
      </c>
      <c r="R13" s="9"/>
      <c r="S13" s="9"/>
      <c r="T13" s="9"/>
      <c r="U13" s="44">
        <v>25.375</v>
      </c>
      <c r="V13" s="44">
        <v>25.375</v>
      </c>
      <c r="W13" s="22">
        <v>14</v>
      </c>
      <c r="X13" s="22">
        <v>2.1145833333333335</v>
      </c>
      <c r="AB13" s="44"/>
      <c r="AF13" s="22">
        <v>2.1145833333333335</v>
      </c>
      <c r="AJ13" s="22">
        <v>2.1145833333333335</v>
      </c>
      <c r="AK13" s="22">
        <v>1.1666666666666667</v>
      </c>
      <c r="BG13" s="22">
        <v>2.1145833333333335</v>
      </c>
      <c r="BP13" s="33"/>
      <c r="BS13" s="20"/>
      <c r="BW13" s="44">
        <v>25.375</v>
      </c>
      <c r="BX13" s="44">
        <v>25.375</v>
      </c>
      <c r="CJ13">
        <v>1453</v>
      </c>
      <c r="CK13" s="2" t="s">
        <v>1212</v>
      </c>
    </row>
    <row r="14" spans="1:89" ht="12.75">
      <c r="A14" s="15">
        <v>1453</v>
      </c>
      <c r="B14" s="14" t="s">
        <v>1117</v>
      </c>
      <c r="C14" s="14" t="s">
        <v>644</v>
      </c>
      <c r="D14" s="14" t="s">
        <v>14</v>
      </c>
      <c r="E14" s="14" t="s">
        <v>10</v>
      </c>
      <c r="F14" s="2" t="s">
        <v>103</v>
      </c>
      <c r="G14" s="2">
        <v>2</v>
      </c>
      <c r="H14" s="2" t="s">
        <v>1202</v>
      </c>
      <c r="I14" s="2" t="s">
        <v>1399</v>
      </c>
      <c r="J14" s="14" t="s">
        <v>415</v>
      </c>
      <c r="K14" s="2" t="s">
        <v>1211</v>
      </c>
      <c r="L14" s="14" t="s">
        <v>1201</v>
      </c>
      <c r="M14" s="14" t="s">
        <v>1349</v>
      </c>
      <c r="N14" s="2" t="s">
        <v>924</v>
      </c>
      <c r="O14" s="10">
        <v>2</v>
      </c>
      <c r="P14" s="10"/>
      <c r="Q14" s="10">
        <v>66</v>
      </c>
      <c r="R14" s="9"/>
      <c r="S14" s="9"/>
      <c r="T14" s="9"/>
      <c r="U14" s="44">
        <v>49.5</v>
      </c>
      <c r="V14" s="44">
        <v>24.75</v>
      </c>
      <c r="W14" s="22">
        <v>15</v>
      </c>
      <c r="X14" s="22">
        <v>2.0625</v>
      </c>
      <c r="AB14" s="44"/>
      <c r="AC14">
        <v>4</v>
      </c>
      <c r="AD14">
        <v>2</v>
      </c>
      <c r="AE14">
        <v>6</v>
      </c>
      <c r="AF14" s="22">
        <v>4.125</v>
      </c>
      <c r="AG14">
        <v>2</v>
      </c>
      <c r="AH14">
        <v>1</v>
      </c>
      <c r="AI14">
        <v>3</v>
      </c>
      <c r="AJ14" s="22">
        <v>2.0625</v>
      </c>
      <c r="AK14" s="22">
        <v>1.25</v>
      </c>
      <c r="BG14" s="22">
        <v>2.0625</v>
      </c>
      <c r="BP14" s="33"/>
      <c r="BS14" s="20"/>
      <c r="BW14" s="44">
        <v>49.5</v>
      </c>
      <c r="BX14" s="44">
        <v>24.75</v>
      </c>
      <c r="CJ14">
        <v>1453</v>
      </c>
      <c r="CK14" s="2" t="s">
        <v>1211</v>
      </c>
    </row>
    <row r="15" spans="1:90" ht="12.75">
      <c r="A15" s="15">
        <v>1453</v>
      </c>
      <c r="B15" s="14" t="s">
        <v>1117</v>
      </c>
      <c r="C15" s="14" t="s">
        <v>644</v>
      </c>
      <c r="D15" s="14" t="s">
        <v>14</v>
      </c>
      <c r="E15" s="14" t="s">
        <v>10</v>
      </c>
      <c r="F15" s="2" t="s">
        <v>104</v>
      </c>
      <c r="G15" s="2">
        <v>2</v>
      </c>
      <c r="H15" s="2" t="s">
        <v>1202</v>
      </c>
      <c r="I15" s="2" t="s">
        <v>1399</v>
      </c>
      <c r="J15" s="14" t="s">
        <v>415</v>
      </c>
      <c r="K15" s="2" t="s">
        <v>1211</v>
      </c>
      <c r="L15" s="14" t="s">
        <v>1201</v>
      </c>
      <c r="M15" s="14" t="s">
        <v>1349</v>
      </c>
      <c r="N15" s="2" t="s">
        <v>924</v>
      </c>
      <c r="O15" s="10">
        <v>2</v>
      </c>
      <c r="P15" s="10"/>
      <c r="Q15" s="10">
        <v>66</v>
      </c>
      <c r="R15" s="9"/>
      <c r="S15" s="9"/>
      <c r="T15" s="9"/>
      <c r="U15" s="44">
        <v>47.85</v>
      </c>
      <c r="V15" s="44">
        <v>23.925</v>
      </c>
      <c r="W15" s="22">
        <v>14.5</v>
      </c>
      <c r="X15" s="22">
        <v>1.99375</v>
      </c>
      <c r="AF15" s="22">
        <v>3.9875</v>
      </c>
      <c r="AJ15" s="22">
        <v>1.99375</v>
      </c>
      <c r="AK15" s="22">
        <v>1.2083333333333333</v>
      </c>
      <c r="BG15" s="22">
        <v>1.99375</v>
      </c>
      <c r="BP15" s="33"/>
      <c r="BS15" s="20"/>
      <c r="BW15" s="44">
        <v>47.85</v>
      </c>
      <c r="BX15" s="44">
        <v>23.925</v>
      </c>
      <c r="CJ15">
        <v>1453</v>
      </c>
      <c r="CK15" s="2" t="s">
        <v>1211</v>
      </c>
      <c r="CL15" t="s">
        <v>59</v>
      </c>
    </row>
    <row r="16" spans="1:90" ht="12.75">
      <c r="A16" s="15">
        <v>1453</v>
      </c>
      <c r="B16" s="14" t="s">
        <v>1117</v>
      </c>
      <c r="C16" s="14" t="s">
        <v>644</v>
      </c>
      <c r="D16" s="14" t="s">
        <v>14</v>
      </c>
      <c r="E16" s="14" t="s">
        <v>10</v>
      </c>
      <c r="F16" s="2" t="s">
        <v>107</v>
      </c>
      <c r="G16" s="2">
        <v>2</v>
      </c>
      <c r="H16" s="2" t="s">
        <v>1202</v>
      </c>
      <c r="I16" s="2" t="s">
        <v>1397</v>
      </c>
      <c r="J16" s="14" t="s">
        <v>415</v>
      </c>
      <c r="K16" s="2" t="s">
        <v>1211</v>
      </c>
      <c r="L16" s="14" t="s">
        <v>1201</v>
      </c>
      <c r="M16" s="14" t="s">
        <v>1349</v>
      </c>
      <c r="N16" s="2" t="s">
        <v>925</v>
      </c>
      <c r="O16" s="10">
        <v>1</v>
      </c>
      <c r="P16" s="10"/>
      <c r="Q16" s="10">
        <v>37.25</v>
      </c>
      <c r="R16" s="9"/>
      <c r="S16" s="9"/>
      <c r="T16" s="9"/>
      <c r="U16" s="44">
        <v>27</v>
      </c>
      <c r="V16" s="44">
        <v>27</v>
      </c>
      <c r="W16" s="22">
        <v>14.5</v>
      </c>
      <c r="X16" s="22">
        <v>2.25</v>
      </c>
      <c r="AB16" s="44"/>
      <c r="AC16">
        <v>2</v>
      </c>
      <c r="AD16">
        <v>5</v>
      </c>
      <c r="AE16">
        <v>0</v>
      </c>
      <c r="AF16" s="22">
        <v>2.25</v>
      </c>
      <c r="AG16">
        <v>2</v>
      </c>
      <c r="AH16">
        <v>5</v>
      </c>
      <c r="AI16">
        <v>0</v>
      </c>
      <c r="AJ16" s="22">
        <v>2.25</v>
      </c>
      <c r="AK16" s="22">
        <v>1.2083333333333333</v>
      </c>
      <c r="AZ16" s="7"/>
      <c r="BG16" s="22">
        <v>2.25</v>
      </c>
      <c r="BP16" s="33"/>
      <c r="BS16" s="20"/>
      <c r="BW16" s="44">
        <v>27</v>
      </c>
      <c r="BX16" s="44">
        <v>27</v>
      </c>
      <c r="CJ16">
        <v>1453</v>
      </c>
      <c r="CK16" s="2" t="s">
        <v>1211</v>
      </c>
      <c r="CL16" t="s">
        <v>71</v>
      </c>
    </row>
    <row r="17" spans="1:90" ht="12.75">
      <c r="A17" s="15">
        <v>1453</v>
      </c>
      <c r="B17" s="14" t="s">
        <v>1117</v>
      </c>
      <c r="C17" s="14" t="s">
        <v>644</v>
      </c>
      <c r="D17" s="14" t="s">
        <v>14</v>
      </c>
      <c r="E17" s="14" t="s">
        <v>10</v>
      </c>
      <c r="F17" s="2" t="s">
        <v>108</v>
      </c>
      <c r="G17" s="2">
        <v>2</v>
      </c>
      <c r="H17" s="2" t="s">
        <v>1202</v>
      </c>
      <c r="I17" s="2" t="s">
        <v>1397</v>
      </c>
      <c r="J17" s="14" t="s">
        <v>415</v>
      </c>
      <c r="K17" s="2" t="s">
        <v>1211</v>
      </c>
      <c r="L17" s="14" t="s">
        <v>1201</v>
      </c>
      <c r="M17" s="14" t="s">
        <v>1349</v>
      </c>
      <c r="N17" s="2" t="s">
        <v>925</v>
      </c>
      <c r="O17" s="10">
        <v>2</v>
      </c>
      <c r="P17" s="10"/>
      <c r="Q17" s="10">
        <v>65</v>
      </c>
      <c r="R17" s="9"/>
      <c r="S17" s="9"/>
      <c r="T17" s="9"/>
      <c r="U17" s="44">
        <v>45.85</v>
      </c>
      <c r="V17" s="44">
        <v>22.925</v>
      </c>
      <c r="W17" s="22">
        <v>14</v>
      </c>
      <c r="X17" s="22">
        <v>1.9104166666666667</v>
      </c>
      <c r="AB17" s="44"/>
      <c r="AC17">
        <v>3</v>
      </c>
      <c r="AD17">
        <v>16</v>
      </c>
      <c r="AE17">
        <v>0</v>
      </c>
      <c r="AF17" s="22">
        <v>3.8</v>
      </c>
      <c r="AG17">
        <v>1</v>
      </c>
      <c r="AH17">
        <v>18</v>
      </c>
      <c r="AI17">
        <v>2.5</v>
      </c>
      <c r="AJ17" s="22">
        <v>1.9104166666666667</v>
      </c>
      <c r="AK17" s="22">
        <v>1.1666666666666667</v>
      </c>
      <c r="BG17" s="22">
        <v>1.9104166666666667</v>
      </c>
      <c r="BP17" s="33"/>
      <c r="BS17" s="20"/>
      <c r="BW17" s="44">
        <v>45.85</v>
      </c>
      <c r="BX17" s="44">
        <v>22.925</v>
      </c>
      <c r="CJ17">
        <v>1453</v>
      </c>
      <c r="CK17" s="2" t="s">
        <v>1211</v>
      </c>
      <c r="CL17" t="s">
        <v>72</v>
      </c>
    </row>
    <row r="19" spans="1:89" ht="12.75">
      <c r="A19" s="18">
        <v>1462</v>
      </c>
      <c r="B19" s="14" t="s">
        <v>1117</v>
      </c>
      <c r="C19" s="14" t="s">
        <v>644</v>
      </c>
      <c r="D19" s="14" t="s">
        <v>229</v>
      </c>
      <c r="E19" s="14" t="s">
        <v>38</v>
      </c>
      <c r="F19" s="32" t="s">
        <v>210</v>
      </c>
      <c r="G19" s="2"/>
      <c r="H19" s="2" t="s">
        <v>1202</v>
      </c>
      <c r="I19" s="2" t="s">
        <v>1221</v>
      </c>
      <c r="J19" s="14" t="s">
        <v>415</v>
      </c>
      <c r="K19" s="2" t="s">
        <v>1205</v>
      </c>
      <c r="L19" s="14" t="s">
        <v>1201</v>
      </c>
      <c r="M19" s="14" t="s">
        <v>5</v>
      </c>
      <c r="N19" s="2" t="s">
        <v>917</v>
      </c>
      <c r="O19" s="10">
        <v>7</v>
      </c>
      <c r="P19" s="10"/>
      <c r="Q19" s="10"/>
      <c r="R19" s="9"/>
      <c r="S19" s="9"/>
      <c r="T19" s="9"/>
      <c r="U19" s="44">
        <v>235.19999999999996</v>
      </c>
      <c r="V19" s="44">
        <v>33.599999999999994</v>
      </c>
      <c r="X19" s="22">
        <v>2.8</v>
      </c>
      <c r="AC19">
        <v>18</v>
      </c>
      <c r="AD19">
        <v>12</v>
      </c>
      <c r="AE19">
        <v>0</v>
      </c>
      <c r="AF19" s="22">
        <v>18.6</v>
      </c>
      <c r="AG19">
        <v>2</v>
      </c>
      <c r="AH19">
        <v>16</v>
      </c>
      <c r="AI19">
        <v>0</v>
      </c>
      <c r="AJ19" s="22">
        <v>2.8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BG19" s="22">
        <v>2.8</v>
      </c>
      <c r="BS19" s="20"/>
      <c r="BW19" s="44">
        <v>235.19999999999996</v>
      </c>
      <c r="BX19" s="44">
        <v>33.599999999999994</v>
      </c>
      <c r="CJ19">
        <v>1462</v>
      </c>
      <c r="CK19" s="2" t="s">
        <v>1205</v>
      </c>
    </row>
    <row r="20" spans="1:90" ht="12.75">
      <c r="A20" s="18">
        <v>1462</v>
      </c>
      <c r="B20" s="14" t="s">
        <v>1117</v>
      </c>
      <c r="C20" s="14" t="s">
        <v>644</v>
      </c>
      <c r="D20" s="14" t="s">
        <v>229</v>
      </c>
      <c r="E20" s="14" t="s">
        <v>38</v>
      </c>
      <c r="F20" s="32" t="s">
        <v>212</v>
      </c>
      <c r="G20" s="2"/>
      <c r="H20" s="2" t="s">
        <v>1202</v>
      </c>
      <c r="I20" s="2" t="s">
        <v>490</v>
      </c>
      <c r="J20" s="14" t="s">
        <v>415</v>
      </c>
      <c r="K20" s="2" t="s">
        <v>1204</v>
      </c>
      <c r="L20" s="14" t="s">
        <v>1201</v>
      </c>
      <c r="M20" s="14" t="s">
        <v>416</v>
      </c>
      <c r="N20" s="2" t="s">
        <v>5</v>
      </c>
      <c r="O20" s="10">
        <v>1</v>
      </c>
      <c r="P20" s="10"/>
      <c r="Q20" s="10"/>
      <c r="R20" s="9"/>
      <c r="S20" s="9"/>
      <c r="T20" s="9"/>
      <c r="U20" s="44">
        <v>33</v>
      </c>
      <c r="V20" s="44">
        <v>33</v>
      </c>
      <c r="W20" s="22">
        <v>11.2</v>
      </c>
      <c r="X20" s="22">
        <v>2.75</v>
      </c>
      <c r="AB20" s="44"/>
      <c r="AC20">
        <v>2</v>
      </c>
      <c r="AD20">
        <v>15</v>
      </c>
      <c r="AE20">
        <v>0</v>
      </c>
      <c r="AF20" s="22">
        <v>2.75</v>
      </c>
      <c r="AG20">
        <v>2</v>
      </c>
      <c r="AH20">
        <v>15</v>
      </c>
      <c r="AI20">
        <v>0</v>
      </c>
      <c r="AJ20" s="22">
        <v>2.75</v>
      </c>
      <c r="AK20" s="22">
        <v>0.9333333333333333</v>
      </c>
      <c r="AU20" s="7"/>
      <c r="BP20" s="33"/>
      <c r="BS20" s="20"/>
      <c r="BW20" s="44">
        <v>33</v>
      </c>
      <c r="BX20" s="44">
        <v>33</v>
      </c>
      <c r="CJ20">
        <v>1462</v>
      </c>
      <c r="CK20" s="2" t="s">
        <v>1204</v>
      </c>
      <c r="CL20" t="s">
        <v>45</v>
      </c>
    </row>
    <row r="21" spans="1:89" ht="12.75">
      <c r="A21" s="18">
        <v>1462</v>
      </c>
      <c r="B21" s="14" t="s">
        <v>1117</v>
      </c>
      <c r="C21" s="14" t="s">
        <v>644</v>
      </c>
      <c r="D21" s="14" t="s">
        <v>229</v>
      </c>
      <c r="E21" s="14" t="s">
        <v>38</v>
      </c>
      <c r="F21" s="32" t="s">
        <v>213</v>
      </c>
      <c r="G21" s="2"/>
      <c r="H21" s="2" t="s">
        <v>1202</v>
      </c>
      <c r="I21" s="2" t="s">
        <v>975</v>
      </c>
      <c r="J21" s="14" t="s">
        <v>415</v>
      </c>
      <c r="K21" s="2" t="s">
        <v>1208</v>
      </c>
      <c r="L21" s="14" t="s">
        <v>1201</v>
      </c>
      <c r="M21" s="14" t="s">
        <v>906</v>
      </c>
      <c r="N21" s="2" t="s">
        <v>5</v>
      </c>
      <c r="O21" s="10">
        <v>1</v>
      </c>
      <c r="P21" s="10"/>
      <c r="Q21" s="10"/>
      <c r="R21" s="9"/>
      <c r="S21" s="9"/>
      <c r="T21" s="9"/>
      <c r="U21" s="44">
        <v>33</v>
      </c>
      <c r="V21" s="44">
        <v>33</v>
      </c>
      <c r="W21" s="22">
        <v>11.2</v>
      </c>
      <c r="X21" s="22">
        <v>2.75</v>
      </c>
      <c r="AB21" s="44"/>
      <c r="AC21">
        <v>2</v>
      </c>
      <c r="AD21">
        <v>15</v>
      </c>
      <c r="AE21">
        <v>0</v>
      </c>
      <c r="AF21" s="22">
        <v>2.75</v>
      </c>
      <c r="AG21">
        <v>2</v>
      </c>
      <c r="AH21">
        <v>15</v>
      </c>
      <c r="AI21">
        <v>0</v>
      </c>
      <c r="AJ21" s="22">
        <v>2.75</v>
      </c>
      <c r="AK21" s="22">
        <v>0.9333333333333333</v>
      </c>
      <c r="AU21" s="7"/>
      <c r="BP21" s="33"/>
      <c r="BS21" s="20"/>
      <c r="BW21" s="44">
        <v>33</v>
      </c>
      <c r="BX21" s="44">
        <v>33</v>
      </c>
      <c r="CJ21">
        <v>1462</v>
      </c>
      <c r="CK21" s="2" t="s">
        <v>1208</v>
      </c>
    </row>
    <row r="23" spans="1:90" ht="12.75">
      <c r="A23" s="18">
        <v>1463</v>
      </c>
      <c r="B23" s="14" t="s">
        <v>1117</v>
      </c>
      <c r="C23" s="14" t="s">
        <v>644</v>
      </c>
      <c r="D23" s="14" t="s">
        <v>230</v>
      </c>
      <c r="E23" s="14" t="s">
        <v>36</v>
      </c>
      <c r="F23" s="32" t="s">
        <v>220</v>
      </c>
      <c r="G23" s="2">
        <v>1</v>
      </c>
      <c r="H23" s="2" t="s">
        <v>1202</v>
      </c>
      <c r="I23" s="2" t="s">
        <v>1222</v>
      </c>
      <c r="J23" s="14" t="s">
        <v>415</v>
      </c>
      <c r="K23" s="2" t="s">
        <v>1205</v>
      </c>
      <c r="L23" s="14" t="s">
        <v>1201</v>
      </c>
      <c r="M23" s="14" t="s">
        <v>5</v>
      </c>
      <c r="N23" s="2" t="s">
        <v>919</v>
      </c>
      <c r="O23" s="10">
        <v>7</v>
      </c>
      <c r="P23" s="10"/>
      <c r="Q23" s="10">
        <v>213.25</v>
      </c>
      <c r="R23" s="9"/>
      <c r="S23" s="9"/>
      <c r="T23" s="9"/>
      <c r="U23" s="44">
        <v>202.5875</v>
      </c>
      <c r="V23" s="44">
        <v>28.94107142857143</v>
      </c>
      <c r="W23" s="22">
        <v>19</v>
      </c>
      <c r="X23" s="22">
        <v>2.4117559523809526</v>
      </c>
      <c r="AB23" s="44"/>
      <c r="AF23" s="22">
        <v>16.882291666666667</v>
      </c>
      <c r="AJ23" s="22">
        <v>2.4117559523809526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W23" s="7"/>
      <c r="BD23" s="7"/>
      <c r="BE23" s="19"/>
      <c r="BF23" s="19"/>
      <c r="BP23" s="33"/>
      <c r="BS23" s="20"/>
      <c r="BW23" s="44">
        <v>202.5875</v>
      </c>
      <c r="BX23" s="44">
        <v>28.94107142857143</v>
      </c>
      <c r="CJ23">
        <v>1463</v>
      </c>
      <c r="CK23" s="2" t="s">
        <v>1205</v>
      </c>
      <c r="CL23" t="s">
        <v>74</v>
      </c>
    </row>
    <row r="25" spans="1:89" ht="12.75">
      <c r="A25" s="18">
        <v>1467</v>
      </c>
      <c r="B25" s="14" t="s">
        <v>1117</v>
      </c>
      <c r="C25" s="14" t="s">
        <v>644</v>
      </c>
      <c r="D25" s="14" t="s">
        <v>234</v>
      </c>
      <c r="E25" s="14" t="s">
        <v>34</v>
      </c>
      <c r="F25" s="32" t="s">
        <v>281</v>
      </c>
      <c r="G25" s="2"/>
      <c r="H25" s="2" t="s">
        <v>1202</v>
      </c>
      <c r="I25" s="2" t="s">
        <v>678</v>
      </c>
      <c r="J25" s="14" t="s">
        <v>415</v>
      </c>
      <c r="K25" s="2" t="s">
        <v>1206</v>
      </c>
      <c r="L25" s="14" t="s">
        <v>1201</v>
      </c>
      <c r="M25" s="14" t="s">
        <v>434</v>
      </c>
      <c r="N25" s="2" t="s">
        <v>923</v>
      </c>
      <c r="O25" s="10">
        <v>11</v>
      </c>
      <c r="P25" s="10"/>
      <c r="Q25" s="10"/>
      <c r="R25" s="9"/>
      <c r="S25" s="9"/>
      <c r="T25" s="9"/>
      <c r="U25" s="44">
        <v>270.59999999999997</v>
      </c>
      <c r="V25" s="44">
        <v>24.6</v>
      </c>
      <c r="W25" s="22"/>
      <c r="X25" s="22">
        <v>2.05</v>
      </c>
      <c r="AC25">
        <v>22</v>
      </c>
      <c r="AD25">
        <v>11</v>
      </c>
      <c r="AE25">
        <v>0</v>
      </c>
      <c r="AF25" s="22">
        <v>22.55</v>
      </c>
      <c r="AG25">
        <v>2</v>
      </c>
      <c r="AH25">
        <v>1</v>
      </c>
      <c r="AI25">
        <v>0</v>
      </c>
      <c r="AJ25" s="22">
        <v>2.05</v>
      </c>
      <c r="BG25" s="22">
        <v>2.05</v>
      </c>
      <c r="BW25" s="44">
        <v>270.59999999999997</v>
      </c>
      <c r="BX25" s="44">
        <v>24.6</v>
      </c>
      <c r="CJ25">
        <v>1467</v>
      </c>
      <c r="CK25" s="2" t="s">
        <v>1206</v>
      </c>
    </row>
    <row r="27" spans="1:90" ht="12.75">
      <c r="A27" s="18">
        <v>1470</v>
      </c>
      <c r="B27" s="14" t="s">
        <v>1117</v>
      </c>
      <c r="C27" s="14" t="s">
        <v>644</v>
      </c>
      <c r="D27" s="14" t="s">
        <v>235</v>
      </c>
      <c r="E27" s="14" t="s">
        <v>373</v>
      </c>
      <c r="F27" s="32" t="s">
        <v>318</v>
      </c>
      <c r="G27" s="2">
        <v>1</v>
      </c>
      <c r="H27" s="2" t="s">
        <v>1202</v>
      </c>
      <c r="I27" s="2" t="s">
        <v>1734</v>
      </c>
      <c r="J27" s="14" t="s">
        <v>415</v>
      </c>
      <c r="K27" s="2" t="s">
        <v>1203</v>
      </c>
      <c r="L27" s="14" t="s">
        <v>1201</v>
      </c>
      <c r="M27" s="14" t="s">
        <v>437</v>
      </c>
      <c r="N27" s="2" t="s">
        <v>743</v>
      </c>
      <c r="O27" s="10">
        <v>2</v>
      </c>
      <c r="P27" s="10"/>
      <c r="Q27" s="10">
        <v>66.625</v>
      </c>
      <c r="R27" s="9"/>
      <c r="S27" s="9"/>
      <c r="T27" s="9"/>
      <c r="U27" s="44">
        <v>46.6375</v>
      </c>
      <c r="V27" s="44">
        <v>23.31875</v>
      </c>
      <c r="W27" s="22">
        <v>14</v>
      </c>
      <c r="X27" s="22">
        <v>1.9432291666666668</v>
      </c>
      <c r="AF27" s="22">
        <v>3.8864583333333336</v>
      </c>
      <c r="AG27">
        <v>1</v>
      </c>
      <c r="AH27">
        <v>18</v>
      </c>
      <c r="AI27">
        <v>10</v>
      </c>
      <c r="AJ27" s="22">
        <v>1.9432291666666668</v>
      </c>
      <c r="BG27" s="22">
        <v>1.9432291666666668</v>
      </c>
      <c r="BW27" s="44">
        <v>46.6375</v>
      </c>
      <c r="BX27" s="44">
        <v>23.31875</v>
      </c>
      <c r="CJ27">
        <v>1470</v>
      </c>
      <c r="CK27" s="2" t="s">
        <v>1203</v>
      </c>
      <c r="CL27" t="s">
        <v>70</v>
      </c>
    </row>
    <row r="28" spans="1:90" ht="12.75">
      <c r="A28" s="18">
        <v>1470</v>
      </c>
      <c r="B28" s="14" t="s">
        <v>1117</v>
      </c>
      <c r="C28" s="14" t="s">
        <v>644</v>
      </c>
      <c r="D28" s="14" t="s">
        <v>235</v>
      </c>
      <c r="E28" s="14" t="s">
        <v>373</v>
      </c>
      <c r="F28" s="32" t="s">
        <v>319</v>
      </c>
      <c r="G28" s="2">
        <v>1</v>
      </c>
      <c r="H28" s="2" t="s">
        <v>1202</v>
      </c>
      <c r="I28" s="2" t="s">
        <v>1279</v>
      </c>
      <c r="J28" s="14" t="s">
        <v>415</v>
      </c>
      <c r="K28" s="2" t="s">
        <v>1210</v>
      </c>
      <c r="L28" s="14" t="s">
        <v>1201</v>
      </c>
      <c r="M28" s="14" t="s">
        <v>1269</v>
      </c>
      <c r="N28" s="2" t="s">
        <v>743</v>
      </c>
      <c r="O28" s="10">
        <v>2</v>
      </c>
      <c r="P28" s="10"/>
      <c r="Q28" s="10">
        <v>66.625</v>
      </c>
      <c r="R28" s="9"/>
      <c r="S28" s="9"/>
      <c r="T28" s="9"/>
      <c r="U28" s="44">
        <v>46.6375</v>
      </c>
      <c r="V28" s="44">
        <v>23.31875</v>
      </c>
      <c r="W28" s="22">
        <v>14</v>
      </c>
      <c r="X28" s="22">
        <v>1.9432291666666668</v>
      </c>
      <c r="AF28" s="22">
        <v>3.8864583333333336</v>
      </c>
      <c r="AG28">
        <v>1</v>
      </c>
      <c r="AH28">
        <v>18</v>
      </c>
      <c r="AI28">
        <v>10</v>
      </c>
      <c r="AJ28" s="22">
        <v>1.9432291666666668</v>
      </c>
      <c r="BG28" s="22">
        <v>1.9432291666666668</v>
      </c>
      <c r="BW28" s="44">
        <v>46.6375</v>
      </c>
      <c r="BX28" s="44">
        <v>23.31875</v>
      </c>
      <c r="CJ28">
        <v>1470</v>
      </c>
      <c r="CK28" s="2" t="s">
        <v>1210</v>
      </c>
      <c r="CL28" t="s">
        <v>1183</v>
      </c>
    </row>
    <row r="30" spans="1:90" ht="12.75">
      <c r="A30" s="18">
        <v>1471</v>
      </c>
      <c r="B30" s="14" t="s">
        <v>1117</v>
      </c>
      <c r="C30" s="14" t="s">
        <v>644</v>
      </c>
      <c r="D30" s="14" t="s">
        <v>236</v>
      </c>
      <c r="E30" s="14" t="s">
        <v>372</v>
      </c>
      <c r="F30" s="32" t="s">
        <v>331</v>
      </c>
      <c r="G30" s="2">
        <v>1</v>
      </c>
      <c r="H30" s="2" t="s">
        <v>1202</v>
      </c>
      <c r="I30" s="2" t="s">
        <v>1731</v>
      </c>
      <c r="J30" s="14" t="s">
        <v>415</v>
      </c>
      <c r="K30" s="2" t="s">
        <v>1203</v>
      </c>
      <c r="L30" s="14" t="s">
        <v>1201</v>
      </c>
      <c r="M30" s="14" t="s">
        <v>437</v>
      </c>
      <c r="N30" s="2" t="s">
        <v>387</v>
      </c>
      <c r="O30" s="10">
        <v>2</v>
      </c>
      <c r="P30" s="10"/>
      <c r="Q30" s="10">
        <v>67.2</v>
      </c>
      <c r="R30" s="9"/>
      <c r="S30" s="9"/>
      <c r="T30" s="9"/>
      <c r="U30" s="44">
        <v>47.04</v>
      </c>
      <c r="V30" s="44">
        <v>23.52</v>
      </c>
      <c r="W30" s="22">
        <v>14</v>
      </c>
      <c r="X30" s="22">
        <v>1.96</v>
      </c>
      <c r="AF30" s="22">
        <v>3.92</v>
      </c>
      <c r="AG30">
        <v>1</v>
      </c>
      <c r="AH30">
        <v>19</v>
      </c>
      <c r="AI30">
        <v>0</v>
      </c>
      <c r="AJ30" s="22">
        <v>1.96</v>
      </c>
      <c r="BG30" s="22">
        <v>1.96</v>
      </c>
      <c r="BW30" s="44">
        <v>47.04</v>
      </c>
      <c r="BX30" s="44">
        <v>23.52</v>
      </c>
      <c r="CJ30">
        <v>1471</v>
      </c>
      <c r="CK30" s="2" t="s">
        <v>1203</v>
      </c>
      <c r="CL30" t="s">
        <v>75</v>
      </c>
    </row>
    <row r="31" spans="1:89" ht="12.75">
      <c r="A31" s="18">
        <v>1471</v>
      </c>
      <c r="B31" s="14" t="s">
        <v>1117</v>
      </c>
      <c r="C31" s="14" t="s">
        <v>644</v>
      </c>
      <c r="D31" s="14" t="s">
        <v>236</v>
      </c>
      <c r="E31" s="14" t="s">
        <v>372</v>
      </c>
      <c r="F31" s="32" t="s">
        <v>332</v>
      </c>
      <c r="G31" s="2">
        <v>1</v>
      </c>
      <c r="H31" s="2" t="s">
        <v>1202</v>
      </c>
      <c r="I31" s="2" t="s">
        <v>1008</v>
      </c>
      <c r="J31" s="14" t="s">
        <v>415</v>
      </c>
      <c r="K31" s="2" t="s">
        <v>1207</v>
      </c>
      <c r="L31" s="14" t="s">
        <v>1201</v>
      </c>
      <c r="M31" s="14" t="s">
        <v>897</v>
      </c>
      <c r="N31" s="2" t="s">
        <v>387</v>
      </c>
      <c r="O31" s="10">
        <v>3</v>
      </c>
      <c r="P31" s="10"/>
      <c r="Q31" s="10">
        <v>100.8</v>
      </c>
      <c r="R31" s="9"/>
      <c r="S31" s="9"/>
      <c r="T31" s="9"/>
      <c r="U31" s="44">
        <v>70.56</v>
      </c>
      <c r="V31" s="44">
        <v>23.52</v>
      </c>
      <c r="W31" s="22">
        <v>14</v>
      </c>
      <c r="X31" s="22">
        <v>1.96</v>
      </c>
      <c r="AF31" s="22">
        <v>5.88</v>
      </c>
      <c r="AG31">
        <v>1</v>
      </c>
      <c r="AH31">
        <v>19</v>
      </c>
      <c r="AI31">
        <v>0</v>
      </c>
      <c r="AJ31" s="22">
        <v>1.96</v>
      </c>
      <c r="BG31" s="22">
        <v>1.96</v>
      </c>
      <c r="BW31" s="44">
        <v>70.56</v>
      </c>
      <c r="BX31" s="44">
        <v>23.52</v>
      </c>
      <c r="CJ31">
        <v>1471</v>
      </c>
      <c r="CK31" s="2" t="s">
        <v>1207</v>
      </c>
    </row>
    <row r="33" spans="1:90" ht="12.75">
      <c r="A33" s="18">
        <v>1472</v>
      </c>
      <c r="B33" s="14" t="s">
        <v>1117</v>
      </c>
      <c r="C33" s="14" t="s">
        <v>644</v>
      </c>
      <c r="D33" s="14" t="s">
        <v>237</v>
      </c>
      <c r="E33" s="14" t="s">
        <v>373</v>
      </c>
      <c r="F33" s="32" t="s">
        <v>343</v>
      </c>
      <c r="G33" s="2">
        <v>2</v>
      </c>
      <c r="H33" s="2" t="s">
        <v>1214</v>
      </c>
      <c r="I33" s="2" t="s">
        <v>489</v>
      </c>
      <c r="J33" s="14" t="s">
        <v>415</v>
      </c>
      <c r="K33" s="2" t="s">
        <v>1204</v>
      </c>
      <c r="L33" s="14" t="s">
        <v>1201</v>
      </c>
      <c r="M33" s="14" t="s">
        <v>416</v>
      </c>
      <c r="N33" s="2" t="s">
        <v>741</v>
      </c>
      <c r="O33" s="10">
        <v>3</v>
      </c>
      <c r="P33" s="10"/>
      <c r="Q33" s="10">
        <v>108</v>
      </c>
      <c r="R33" s="9"/>
      <c r="S33" s="9"/>
      <c r="T33" s="9"/>
      <c r="U33" s="44">
        <v>78.3</v>
      </c>
      <c r="V33" s="44">
        <v>26.1</v>
      </c>
      <c r="W33" s="22">
        <v>14.5</v>
      </c>
      <c r="X33" s="22">
        <v>2.175</v>
      </c>
      <c r="AF33" s="22">
        <v>6.525</v>
      </c>
      <c r="AG33">
        <v>2</v>
      </c>
      <c r="AH33">
        <v>3</v>
      </c>
      <c r="AI33">
        <v>6</v>
      </c>
      <c r="AJ33" s="6">
        <v>2.175</v>
      </c>
      <c r="AK33" s="22">
        <v>1.2083333333333333</v>
      </c>
      <c r="BG33" s="6">
        <v>2.175</v>
      </c>
      <c r="BW33" s="44">
        <v>78.3</v>
      </c>
      <c r="BX33" s="44">
        <v>26.1</v>
      </c>
      <c r="CJ33">
        <v>1472</v>
      </c>
      <c r="CK33" s="2" t="s">
        <v>1204</v>
      </c>
      <c r="CL33" t="s">
        <v>79</v>
      </c>
    </row>
    <row r="34" spans="1:90" ht="12.75">
      <c r="A34" s="18">
        <v>1472</v>
      </c>
      <c r="B34" s="14" t="s">
        <v>1117</v>
      </c>
      <c r="C34" s="14" t="s">
        <v>644</v>
      </c>
      <c r="D34" s="14" t="s">
        <v>237</v>
      </c>
      <c r="E34" s="14" t="s">
        <v>373</v>
      </c>
      <c r="F34" s="32" t="s">
        <v>344</v>
      </c>
      <c r="G34" s="2">
        <v>2</v>
      </c>
      <c r="H34" s="2" t="s">
        <v>1214</v>
      </c>
      <c r="I34" s="2" t="s">
        <v>984</v>
      </c>
      <c r="J34" s="14" t="s">
        <v>415</v>
      </c>
      <c r="K34" s="2" t="s">
        <v>1208</v>
      </c>
      <c r="L34" s="14" t="s">
        <v>1201</v>
      </c>
      <c r="M34" s="14" t="s">
        <v>906</v>
      </c>
      <c r="N34" s="2" t="s">
        <v>741</v>
      </c>
      <c r="O34" s="10">
        <v>2</v>
      </c>
      <c r="P34" s="10"/>
      <c r="Q34" s="10">
        <v>72</v>
      </c>
      <c r="R34" s="9"/>
      <c r="S34" s="9"/>
      <c r="T34" s="9"/>
      <c r="U34" s="44">
        <v>52.2</v>
      </c>
      <c r="V34" s="44">
        <v>26.1</v>
      </c>
      <c r="W34" s="22">
        <v>14.5</v>
      </c>
      <c r="X34" s="22">
        <v>2.175</v>
      </c>
      <c r="AF34" s="22">
        <v>4.35</v>
      </c>
      <c r="AG34">
        <v>2</v>
      </c>
      <c r="AH34">
        <v>3</v>
      </c>
      <c r="AI34">
        <v>6</v>
      </c>
      <c r="AJ34" s="6">
        <v>2.175</v>
      </c>
      <c r="AK34" s="22">
        <v>1.2083333333333333</v>
      </c>
      <c r="BG34" s="6">
        <v>2.175</v>
      </c>
      <c r="BW34" s="44">
        <v>52.2</v>
      </c>
      <c r="BX34" s="44">
        <v>26.1</v>
      </c>
      <c r="CJ34">
        <v>1472</v>
      </c>
      <c r="CK34" s="2" t="s">
        <v>1208</v>
      </c>
      <c r="CL34" t="s">
        <v>1348</v>
      </c>
    </row>
    <row r="36" spans="1:90" ht="12.75">
      <c r="A36" s="18">
        <v>1473</v>
      </c>
      <c r="B36" s="14" t="s">
        <v>1117</v>
      </c>
      <c r="C36" s="14" t="s">
        <v>644</v>
      </c>
      <c r="D36" s="14" t="s">
        <v>238</v>
      </c>
      <c r="E36" s="14" t="s">
        <v>375</v>
      </c>
      <c r="F36" s="32" t="s">
        <v>359</v>
      </c>
      <c r="G36" s="2">
        <v>2</v>
      </c>
      <c r="H36" s="2" t="s">
        <v>1202</v>
      </c>
      <c r="I36" s="2" t="s">
        <v>483</v>
      </c>
      <c r="J36" s="14" t="s">
        <v>415</v>
      </c>
      <c r="K36" s="2" t="s">
        <v>1204</v>
      </c>
      <c r="L36" s="14" t="s">
        <v>1201</v>
      </c>
      <c r="M36" s="14" t="s">
        <v>416</v>
      </c>
      <c r="N36" s="2" t="s">
        <v>5</v>
      </c>
      <c r="O36" s="10">
        <v>3</v>
      </c>
      <c r="P36" s="10"/>
      <c r="Q36" s="10"/>
      <c r="R36" s="9"/>
      <c r="S36" s="9"/>
      <c r="T36" s="9"/>
      <c r="U36" s="44">
        <v>67.74</v>
      </c>
      <c r="V36" s="44">
        <v>22.58</v>
      </c>
      <c r="W36" s="22"/>
      <c r="X36" s="22">
        <v>1.8816666666666666</v>
      </c>
      <c r="AF36" s="22">
        <v>5.645</v>
      </c>
      <c r="AG36">
        <v>1</v>
      </c>
      <c r="AH36">
        <v>17</v>
      </c>
      <c r="AI36">
        <v>5</v>
      </c>
      <c r="AJ36" s="6">
        <v>1.8816666666666666</v>
      </c>
      <c r="BW36" s="44">
        <v>67.74</v>
      </c>
      <c r="BX36" s="44">
        <v>22.58</v>
      </c>
      <c r="CJ36">
        <v>1473</v>
      </c>
      <c r="CK36" s="2" t="s">
        <v>1204</v>
      </c>
      <c r="CL36" t="s">
        <v>50</v>
      </c>
    </row>
    <row r="37" spans="1:89" ht="12.75">
      <c r="A37" s="18">
        <v>1473</v>
      </c>
      <c r="B37" s="14" t="s">
        <v>1117</v>
      </c>
      <c r="C37" s="14" t="s">
        <v>644</v>
      </c>
      <c r="D37" s="14" t="s">
        <v>238</v>
      </c>
      <c r="E37" s="14" t="s">
        <v>375</v>
      </c>
      <c r="F37" s="32" t="s">
        <v>359</v>
      </c>
      <c r="G37" s="2">
        <v>2</v>
      </c>
      <c r="H37" s="2" t="s">
        <v>1202</v>
      </c>
      <c r="I37" s="2" t="s">
        <v>1002</v>
      </c>
      <c r="J37" s="14" t="s">
        <v>415</v>
      </c>
      <c r="K37" s="2" t="s">
        <v>1207</v>
      </c>
      <c r="L37" s="14" t="s">
        <v>1201</v>
      </c>
      <c r="M37" s="14" t="s">
        <v>897</v>
      </c>
      <c r="N37" s="2" t="s">
        <v>5</v>
      </c>
      <c r="O37" s="10">
        <v>2</v>
      </c>
      <c r="P37" s="10"/>
      <c r="Q37" s="10"/>
      <c r="R37" s="9"/>
      <c r="S37" s="9"/>
      <c r="T37" s="9"/>
      <c r="U37" s="44">
        <v>45.16</v>
      </c>
      <c r="V37" s="44">
        <v>22.58</v>
      </c>
      <c r="W37" s="22"/>
      <c r="X37" s="22">
        <v>1.8816666666666666</v>
      </c>
      <c r="AF37" s="22">
        <v>3.763333333333333</v>
      </c>
      <c r="AG37">
        <v>1</v>
      </c>
      <c r="AH37">
        <v>17</v>
      </c>
      <c r="AI37">
        <v>5</v>
      </c>
      <c r="AJ37" s="6">
        <v>1.8816666666666666</v>
      </c>
      <c r="BW37" s="44">
        <v>45.16</v>
      </c>
      <c r="BX37" s="44">
        <v>22.58</v>
      </c>
      <c r="CJ37">
        <v>1473</v>
      </c>
      <c r="CK37" s="2" t="s">
        <v>1207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4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140625" style="0" customWidth="1"/>
    <col min="10" max="10" width="7.57421875" style="0" customWidth="1"/>
    <col min="11" max="11" width="22.140625" style="0" customWidth="1"/>
    <col min="12" max="12" width="6.28125" style="0" customWidth="1"/>
    <col min="13" max="13" width="7.57421875" style="0" customWidth="1"/>
    <col min="14" max="14" width="29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140625" style="0" customWidth="1"/>
    <col min="90" max="90" width="127.28125" style="0" customWidth="1"/>
    <col min="91" max="91" width="13.421875" style="0" customWidth="1"/>
  </cols>
  <sheetData>
    <row r="1" spans="1:88" ht="12.75">
      <c r="A1" s="14"/>
      <c r="B1" s="18" t="s">
        <v>1034</v>
      </c>
      <c r="C1" s="4"/>
      <c r="D1" s="3"/>
      <c r="E1" s="4" t="s">
        <v>547</v>
      </c>
      <c r="F1" s="25"/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1459</v>
      </c>
      <c r="B9" s="14" t="s">
        <v>1117</v>
      </c>
      <c r="C9" s="14" t="s">
        <v>644</v>
      </c>
      <c r="D9" s="14" t="s">
        <v>226</v>
      </c>
      <c r="E9" s="14" t="s">
        <v>32</v>
      </c>
      <c r="F9" s="32" t="s">
        <v>170</v>
      </c>
      <c r="G9" s="2">
        <v>1</v>
      </c>
      <c r="H9" s="2" t="s">
        <v>1034</v>
      </c>
      <c r="I9" s="2" t="s">
        <v>980</v>
      </c>
      <c r="J9" s="14" t="s">
        <v>415</v>
      </c>
      <c r="K9" s="2" t="s">
        <v>1037</v>
      </c>
      <c r="L9" s="14" t="s">
        <v>1032</v>
      </c>
      <c r="M9" s="14" t="s">
        <v>1668</v>
      </c>
      <c r="N9" s="2" t="s">
        <v>1344</v>
      </c>
      <c r="O9" s="10">
        <v>4</v>
      </c>
      <c r="P9" s="10"/>
      <c r="Q9" s="10">
        <v>119.25</v>
      </c>
      <c r="R9" s="9"/>
      <c r="S9" s="9"/>
      <c r="T9" s="9"/>
      <c r="U9" s="44">
        <v>143.1</v>
      </c>
      <c r="V9" s="44">
        <v>35.775</v>
      </c>
      <c r="W9" s="22">
        <v>24</v>
      </c>
      <c r="X9" s="22">
        <v>2.98125</v>
      </c>
      <c r="Y9" s="22"/>
      <c r="AB9" s="44"/>
      <c r="AC9">
        <v>11</v>
      </c>
      <c r="AD9">
        <v>18</v>
      </c>
      <c r="AE9">
        <v>6</v>
      </c>
      <c r="AF9" s="22">
        <v>11.925</v>
      </c>
      <c r="AG9">
        <v>2</v>
      </c>
      <c r="AH9">
        <v>19</v>
      </c>
      <c r="AI9">
        <v>7</v>
      </c>
      <c r="AJ9" s="22">
        <v>2.98125</v>
      </c>
      <c r="AK9" s="22">
        <v>2</v>
      </c>
      <c r="AL9" s="34"/>
      <c r="AM9" s="34"/>
      <c r="AN9" s="34"/>
      <c r="AO9" s="34"/>
      <c r="AP9" s="34"/>
      <c r="AQ9" s="34"/>
      <c r="AR9" s="34"/>
      <c r="AS9" s="34"/>
      <c r="AT9" s="34"/>
      <c r="BC9" s="7"/>
      <c r="BG9" s="22">
        <v>2.98125</v>
      </c>
      <c r="BP9" s="33"/>
      <c r="BS9" s="20"/>
      <c r="BW9" s="44">
        <v>143.1</v>
      </c>
      <c r="BX9" s="44">
        <v>35.775</v>
      </c>
      <c r="CJ9">
        <v>1459</v>
      </c>
      <c r="CK9" s="2" t="s">
        <v>1037</v>
      </c>
      <c r="CL9" t="s">
        <v>76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9.57421875" style="0" customWidth="1"/>
    <col min="9" max="9" width="46.140625" style="0" customWidth="1"/>
    <col min="10" max="10" width="7.57421875" style="0" customWidth="1"/>
    <col min="11" max="11" width="39.14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9.140625" style="0" customWidth="1"/>
    <col min="90" max="90" width="168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DA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9.57421875" style="0" customWidth="1"/>
    <col min="10" max="10" width="7.57421875" style="0" customWidth="1"/>
    <col min="11" max="11" width="21.28125" style="0" customWidth="1"/>
    <col min="12" max="12" width="6.28125" style="0" customWidth="1"/>
    <col min="13" max="13" width="7.57421875" style="0" customWidth="1"/>
    <col min="14" max="14" width="47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28125" style="0" customWidth="1"/>
    <col min="90" max="90" width="185.7109375" style="0" customWidth="1"/>
    <col min="91" max="91" width="13.421875" style="0" customWidth="1"/>
  </cols>
  <sheetData>
    <row r="1" spans="1:88" ht="12.75">
      <c r="A1" s="14"/>
      <c r="B1" s="18" t="s">
        <v>1216</v>
      </c>
      <c r="C1" s="4"/>
      <c r="D1" s="3"/>
      <c r="E1" s="4" t="s">
        <v>547</v>
      </c>
      <c r="F1" s="25"/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1455</v>
      </c>
      <c r="B9" s="14" t="s">
        <v>1117</v>
      </c>
      <c r="C9" s="14" t="s">
        <v>644</v>
      </c>
      <c r="D9" s="14" t="s">
        <v>222</v>
      </c>
      <c r="E9" s="14" t="s">
        <v>42</v>
      </c>
      <c r="F9" s="32" t="s">
        <v>127</v>
      </c>
      <c r="G9" s="2"/>
      <c r="H9" s="2" t="s">
        <v>1216</v>
      </c>
      <c r="I9" s="2" t="s">
        <v>788</v>
      </c>
      <c r="J9" s="14" t="s">
        <v>415</v>
      </c>
      <c r="K9" s="2" t="s">
        <v>787</v>
      </c>
      <c r="L9" s="14" t="s">
        <v>1226</v>
      </c>
      <c r="M9" s="14" t="s">
        <v>1269</v>
      </c>
      <c r="N9" s="2" t="s">
        <v>1449</v>
      </c>
      <c r="O9" s="10"/>
      <c r="P9" s="10">
        <v>26.5</v>
      </c>
      <c r="Q9" s="10"/>
      <c r="R9" s="9"/>
      <c r="S9" s="9"/>
      <c r="T9" s="9"/>
      <c r="U9" s="44">
        <v>37.1</v>
      </c>
      <c r="V9" s="44"/>
      <c r="W9" s="22">
        <v>28</v>
      </c>
      <c r="AF9" s="22">
        <v>3.091666666666667</v>
      </c>
      <c r="AJ9" s="22"/>
      <c r="AK9" s="22">
        <v>2.3333333333333335</v>
      </c>
      <c r="BS9" s="20"/>
      <c r="BW9" s="44">
        <v>37.1</v>
      </c>
      <c r="BX9" s="44"/>
      <c r="CJ9">
        <v>1455</v>
      </c>
      <c r="CK9" s="2" t="s">
        <v>787</v>
      </c>
      <c r="CL9" t="s">
        <v>1</v>
      </c>
    </row>
    <row r="10" spans="1:90" ht="12.75">
      <c r="A10" s="18">
        <v>1455</v>
      </c>
      <c r="B10" s="14" t="s">
        <v>1117</v>
      </c>
      <c r="C10" s="14" t="s">
        <v>644</v>
      </c>
      <c r="D10" s="14" t="s">
        <v>222</v>
      </c>
      <c r="E10" s="14" t="s">
        <v>42</v>
      </c>
      <c r="F10" s="32" t="s">
        <v>128</v>
      </c>
      <c r="G10" s="2"/>
      <c r="H10" s="2" t="s">
        <v>1216</v>
      </c>
      <c r="I10" s="2" t="s">
        <v>1293</v>
      </c>
      <c r="J10" s="14" t="s">
        <v>415</v>
      </c>
      <c r="K10" s="2" t="s">
        <v>1219</v>
      </c>
      <c r="L10" s="14" t="s">
        <v>1226</v>
      </c>
      <c r="M10" s="14" t="s">
        <v>1269</v>
      </c>
      <c r="N10" s="2" t="s">
        <v>1449</v>
      </c>
      <c r="O10" s="10">
        <v>4</v>
      </c>
      <c r="P10" s="10"/>
      <c r="Q10" s="10"/>
      <c r="R10" s="9"/>
      <c r="S10" s="9"/>
      <c r="T10" s="9"/>
      <c r="U10" s="44">
        <v>177</v>
      </c>
      <c r="V10" s="44">
        <v>44.25</v>
      </c>
      <c r="W10" s="22"/>
      <c r="X10" s="22">
        <v>3.6875</v>
      </c>
      <c r="AB10" s="44"/>
      <c r="AC10">
        <v>14</v>
      </c>
      <c r="AD10">
        <v>15</v>
      </c>
      <c r="AE10">
        <v>2</v>
      </c>
      <c r="AF10" s="22">
        <v>14.758333333333333</v>
      </c>
      <c r="AG10">
        <v>3</v>
      </c>
      <c r="AH10">
        <v>13</v>
      </c>
      <c r="AI10">
        <v>9</v>
      </c>
      <c r="AJ10" s="22">
        <v>3.6875</v>
      </c>
      <c r="AK10" s="22"/>
      <c r="BC10" s="7"/>
      <c r="BD10" s="22">
        <v>3.6875</v>
      </c>
      <c r="BP10" s="33"/>
      <c r="BS10" s="20"/>
      <c r="BW10" s="44">
        <v>177</v>
      </c>
      <c r="BX10" s="44">
        <v>44.25</v>
      </c>
      <c r="CJ10">
        <v>1455</v>
      </c>
      <c r="CK10" s="2" t="s">
        <v>1219</v>
      </c>
      <c r="CL10" t="s">
        <v>68</v>
      </c>
    </row>
    <row r="12" spans="1:90" ht="12.75">
      <c r="A12" s="18">
        <v>1456</v>
      </c>
      <c r="B12" s="14" t="s">
        <v>1117</v>
      </c>
      <c r="C12" s="14" t="s">
        <v>644</v>
      </c>
      <c r="D12" s="14" t="s">
        <v>223</v>
      </c>
      <c r="E12" s="14" t="s">
        <v>39</v>
      </c>
      <c r="F12" s="32" t="s">
        <v>141</v>
      </c>
      <c r="G12" s="2">
        <v>2</v>
      </c>
      <c r="H12" t="s">
        <v>1216</v>
      </c>
      <c r="I12" t="s">
        <v>1278</v>
      </c>
      <c r="J12" s="14" t="s">
        <v>415</v>
      </c>
      <c r="K12" s="2" t="s">
        <v>1219</v>
      </c>
      <c r="L12" s="14" t="s">
        <v>1226</v>
      </c>
      <c r="M12" s="14" t="s">
        <v>1269</v>
      </c>
      <c r="N12" s="2" t="s">
        <v>921</v>
      </c>
      <c r="O12" s="10">
        <v>7</v>
      </c>
      <c r="P12" s="10"/>
      <c r="Q12" s="10"/>
      <c r="R12" s="9"/>
      <c r="S12" s="9"/>
      <c r="T12" s="9"/>
      <c r="U12" s="44">
        <v>164.75</v>
      </c>
      <c r="V12" s="44">
        <v>23.535714285714285</v>
      </c>
      <c r="W12" s="22"/>
      <c r="X12" s="22">
        <v>1.9613095238095237</v>
      </c>
      <c r="AB12" s="44"/>
      <c r="AC12">
        <v>13</v>
      </c>
      <c r="AD12">
        <v>14</v>
      </c>
      <c r="AE12">
        <v>7</v>
      </c>
      <c r="AF12" s="22">
        <v>13.729166666666666</v>
      </c>
      <c r="AG12">
        <v>1</v>
      </c>
      <c r="AH12">
        <v>19</v>
      </c>
      <c r="AI12">
        <v>3</v>
      </c>
      <c r="AJ12" s="22">
        <v>1.9613095238095237</v>
      </c>
      <c r="AK12" s="22"/>
      <c r="AL12" s="34"/>
      <c r="AM12" s="34"/>
      <c r="AN12" s="34"/>
      <c r="AO12" s="34"/>
      <c r="AP12" s="34"/>
      <c r="AQ12" s="34"/>
      <c r="AR12" s="34"/>
      <c r="AS12" s="34"/>
      <c r="AT12" s="34"/>
      <c r="AU12" s="7"/>
      <c r="BG12" s="22">
        <v>1.9613095238095237</v>
      </c>
      <c r="BP12" s="33"/>
      <c r="BS12" s="20"/>
      <c r="BW12" s="44">
        <v>164.75</v>
      </c>
      <c r="BX12" s="44">
        <v>23.535714285714285</v>
      </c>
      <c r="CJ12">
        <v>1456</v>
      </c>
      <c r="CK12" s="2" t="s">
        <v>1219</v>
      </c>
      <c r="CL12" t="s">
        <v>63</v>
      </c>
    </row>
    <row r="14" spans="1:90" ht="12.75">
      <c r="A14" s="18">
        <v>1459</v>
      </c>
      <c r="B14" s="14" t="s">
        <v>1117</v>
      </c>
      <c r="C14" s="14" t="s">
        <v>644</v>
      </c>
      <c r="D14" s="14" t="s">
        <v>226</v>
      </c>
      <c r="E14" s="14" t="s">
        <v>32</v>
      </c>
      <c r="F14" s="32" t="s">
        <v>172</v>
      </c>
      <c r="G14" s="2">
        <v>2</v>
      </c>
      <c r="H14" s="2" t="s">
        <v>1216</v>
      </c>
      <c r="I14" s="2" t="s">
        <v>1228</v>
      </c>
      <c r="J14" s="14" t="s">
        <v>415</v>
      </c>
      <c r="K14" s="2" t="s">
        <v>1219</v>
      </c>
      <c r="L14" s="14" t="s">
        <v>1226</v>
      </c>
      <c r="M14" s="14" t="s">
        <v>1269</v>
      </c>
      <c r="N14" s="2" t="s">
        <v>917</v>
      </c>
      <c r="O14" s="10">
        <v>3</v>
      </c>
      <c r="P14" s="10"/>
      <c r="Q14" s="10">
        <v>92.5</v>
      </c>
      <c r="R14" s="9"/>
      <c r="S14" s="9"/>
      <c r="T14" s="9"/>
      <c r="U14" s="44">
        <v>64.75</v>
      </c>
      <c r="V14" s="44">
        <v>21.583333333333332</v>
      </c>
      <c r="W14" s="22">
        <v>14</v>
      </c>
      <c r="X14" s="22">
        <v>1.798611111111111</v>
      </c>
      <c r="AB14" s="44"/>
      <c r="AC14">
        <v>5</v>
      </c>
      <c r="AD14">
        <v>7</v>
      </c>
      <c r="AE14">
        <v>11</v>
      </c>
      <c r="AF14" s="22">
        <v>5.395833333333333</v>
      </c>
      <c r="AG14">
        <v>1</v>
      </c>
      <c r="AH14">
        <v>16</v>
      </c>
      <c r="AI14">
        <v>0</v>
      </c>
      <c r="AJ14" s="22">
        <v>1.798611111111111</v>
      </c>
      <c r="AK14" s="34">
        <v>1.1666666666666667</v>
      </c>
      <c r="AL14" s="34"/>
      <c r="AM14" s="34"/>
      <c r="AN14" s="34"/>
      <c r="AO14" s="34"/>
      <c r="AP14" s="34"/>
      <c r="AQ14" s="34"/>
      <c r="AR14" s="34"/>
      <c r="AS14" s="34"/>
      <c r="AT14" s="34"/>
      <c r="AX14" s="7"/>
      <c r="BG14" s="22">
        <v>1.798611111111111</v>
      </c>
      <c r="BP14" s="33"/>
      <c r="BS14" s="20"/>
      <c r="BW14" s="44">
        <v>64.75</v>
      </c>
      <c r="BX14" s="44">
        <v>21.583333333333332</v>
      </c>
      <c r="CJ14">
        <v>1459</v>
      </c>
      <c r="CK14" s="2" t="s">
        <v>1219</v>
      </c>
      <c r="CL14" t="s">
        <v>60</v>
      </c>
    </row>
    <row r="16" spans="1:90" ht="12.75">
      <c r="A16" s="18">
        <v>1461</v>
      </c>
      <c r="B16" s="14" t="s">
        <v>1117</v>
      </c>
      <c r="C16" s="14" t="s">
        <v>644</v>
      </c>
      <c r="D16" s="14" t="s">
        <v>228</v>
      </c>
      <c r="E16" s="14" t="s">
        <v>37</v>
      </c>
      <c r="F16" s="32" t="s">
        <v>202</v>
      </c>
      <c r="G16" s="2">
        <v>1</v>
      </c>
      <c r="H16" s="2" t="s">
        <v>1216</v>
      </c>
      <c r="I16" s="2" t="s">
        <v>1227</v>
      </c>
      <c r="J16" s="14" t="s">
        <v>415</v>
      </c>
      <c r="K16" s="2" t="s">
        <v>1218</v>
      </c>
      <c r="L16" s="14" t="s">
        <v>1226</v>
      </c>
      <c r="M16" s="14" t="s">
        <v>5</v>
      </c>
      <c r="N16" s="2" t="s">
        <v>916</v>
      </c>
      <c r="O16" s="10">
        <v>7</v>
      </c>
      <c r="P16" s="10"/>
      <c r="Q16" s="10"/>
      <c r="R16" s="9"/>
      <c r="S16" s="9"/>
      <c r="T16" s="9"/>
      <c r="U16" s="44">
        <v>205.3</v>
      </c>
      <c r="V16" s="44">
        <v>29.32857142857143</v>
      </c>
      <c r="X16" s="22">
        <v>2.4440476190476192</v>
      </c>
      <c r="AB16" s="44"/>
      <c r="AC16">
        <v>17</v>
      </c>
      <c r="AD16">
        <v>2</v>
      </c>
      <c r="AE16">
        <v>2</v>
      </c>
      <c r="AF16" s="22">
        <v>17.108333333333334</v>
      </c>
      <c r="AG16">
        <v>2</v>
      </c>
      <c r="AH16">
        <v>8</v>
      </c>
      <c r="AI16">
        <v>11</v>
      </c>
      <c r="AJ16" s="22">
        <v>2.4440476190476192</v>
      </c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BG16" s="22">
        <v>2.4440476190476192</v>
      </c>
      <c r="BP16" s="33"/>
      <c r="BS16" s="20"/>
      <c r="BW16" s="44">
        <v>205.3</v>
      </c>
      <c r="BX16" s="44">
        <v>29.32857142857143</v>
      </c>
      <c r="CJ16">
        <v>1461</v>
      </c>
      <c r="CK16" s="2" t="s">
        <v>1218</v>
      </c>
      <c r="CL16" t="s">
        <v>62</v>
      </c>
    </row>
    <row r="18" spans="1:89" ht="12.75">
      <c r="A18" s="18">
        <v>1465</v>
      </c>
      <c r="B18" s="14" t="s">
        <v>1117</v>
      </c>
      <c r="C18" s="14" t="s">
        <v>644</v>
      </c>
      <c r="D18" s="14" t="s">
        <v>232</v>
      </c>
      <c r="E18" s="14" t="s">
        <v>10</v>
      </c>
      <c r="F18" s="32" t="s">
        <v>264</v>
      </c>
      <c r="G18" s="2">
        <v>1</v>
      </c>
      <c r="H18" s="2" t="s">
        <v>1216</v>
      </c>
      <c r="I18" s="2" t="s">
        <v>491</v>
      </c>
      <c r="J18" s="14" t="s">
        <v>415</v>
      </c>
      <c r="K18" t="s">
        <v>1217</v>
      </c>
      <c r="L18" s="14" t="s">
        <v>1226</v>
      </c>
      <c r="M18" s="14" t="s">
        <v>416</v>
      </c>
      <c r="N18" s="2" t="s">
        <v>926</v>
      </c>
      <c r="O18" s="10">
        <v>6</v>
      </c>
      <c r="P18" s="10"/>
      <c r="Q18" s="10"/>
      <c r="R18" s="9"/>
      <c r="S18" s="9"/>
      <c r="T18" s="9"/>
      <c r="U18" s="44">
        <v>145.35</v>
      </c>
      <c r="V18" s="44">
        <v>24.225</v>
      </c>
      <c r="W18" s="22"/>
      <c r="X18" s="22">
        <v>2.01875</v>
      </c>
      <c r="AB18" s="44"/>
      <c r="AF18" s="22">
        <v>12.1125</v>
      </c>
      <c r="AG18">
        <v>2</v>
      </c>
      <c r="AH18">
        <v>0</v>
      </c>
      <c r="AI18">
        <v>4.5</v>
      </c>
      <c r="AJ18" s="22">
        <v>2.01875</v>
      </c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Y18" s="7"/>
      <c r="BG18" s="22">
        <v>2.01875</v>
      </c>
      <c r="BP18" s="33"/>
      <c r="BS18" s="20"/>
      <c r="BW18" s="44">
        <v>145.35</v>
      </c>
      <c r="BX18" s="44">
        <v>24.225</v>
      </c>
      <c r="CJ18">
        <v>1465</v>
      </c>
      <c r="CK18" t="s">
        <v>1217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A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57421875" style="0" customWidth="1"/>
    <col min="10" max="10" width="7.57421875" style="0" customWidth="1"/>
    <col min="11" max="11" width="22.421875" style="0" customWidth="1"/>
    <col min="12" max="12" width="6.28125" style="0" customWidth="1"/>
    <col min="13" max="13" width="7.57421875" style="0" customWidth="1"/>
    <col min="14" max="14" width="37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2.421875" style="0" customWidth="1"/>
    <col min="90" max="90" width="202.00390625" style="0" customWidth="1"/>
    <col min="91" max="91" width="13.421875" style="0" customWidth="1"/>
  </cols>
  <sheetData>
    <row r="1" spans="1:88" ht="12.75">
      <c r="A1" s="14"/>
      <c r="B1" s="18" t="s">
        <v>455</v>
      </c>
      <c r="C1" s="4"/>
      <c r="D1" s="3"/>
      <c r="E1" s="17"/>
      <c r="F1" s="4" t="s">
        <v>547</v>
      </c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26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1453</v>
      </c>
      <c r="B9" s="14" t="s">
        <v>1117</v>
      </c>
      <c r="C9" s="14" t="s">
        <v>644</v>
      </c>
      <c r="D9" s="14" t="s">
        <v>14</v>
      </c>
      <c r="E9" s="14" t="s">
        <v>10</v>
      </c>
      <c r="F9" s="2" t="s">
        <v>98</v>
      </c>
      <c r="G9" s="2">
        <v>1</v>
      </c>
      <c r="H9" s="2" t="s">
        <v>455</v>
      </c>
      <c r="I9" s="2" t="s">
        <v>472</v>
      </c>
      <c r="J9" s="14" t="s">
        <v>415</v>
      </c>
      <c r="K9" s="2" t="s">
        <v>458</v>
      </c>
      <c r="L9" s="14" t="s">
        <v>464</v>
      </c>
      <c r="M9" s="14" t="s">
        <v>906</v>
      </c>
      <c r="N9" s="2" t="s">
        <v>1449</v>
      </c>
      <c r="O9" s="10">
        <v>4</v>
      </c>
      <c r="P9" s="10">
        <v>125.75</v>
      </c>
      <c r="Q9" s="10"/>
      <c r="R9" s="9"/>
      <c r="S9" s="9"/>
      <c r="T9" s="9"/>
      <c r="U9" s="44">
        <v>113.175</v>
      </c>
      <c r="V9" s="44">
        <v>28.29375</v>
      </c>
      <c r="W9" s="22">
        <v>18</v>
      </c>
      <c r="X9" s="22">
        <v>2.3578125</v>
      </c>
      <c r="AB9" s="44"/>
      <c r="AC9">
        <v>9</v>
      </c>
      <c r="AD9">
        <v>13</v>
      </c>
      <c r="AE9">
        <v>10</v>
      </c>
      <c r="AF9" s="22">
        <v>9.691666666666666</v>
      </c>
      <c r="AG9">
        <v>2</v>
      </c>
      <c r="AH9">
        <v>8</v>
      </c>
      <c r="AI9">
        <v>6</v>
      </c>
      <c r="AJ9" s="22">
        <v>2.3578125</v>
      </c>
      <c r="AK9" s="22">
        <v>1.5</v>
      </c>
      <c r="BD9" s="22">
        <v>2.3578125</v>
      </c>
      <c r="BG9" s="7"/>
      <c r="BP9" s="33"/>
      <c r="BS9" s="20"/>
      <c r="BW9" s="44">
        <v>113.175</v>
      </c>
      <c r="BX9" s="44">
        <v>28.29375</v>
      </c>
      <c r="CJ9">
        <v>1453</v>
      </c>
      <c r="CK9" s="2" t="s">
        <v>458</v>
      </c>
      <c r="CL9" t="s">
        <v>57</v>
      </c>
    </row>
    <row r="11" spans="1:90" ht="12.75">
      <c r="A11" s="18">
        <v>1456</v>
      </c>
      <c r="B11" s="14" t="s">
        <v>1117</v>
      </c>
      <c r="C11" s="14" t="s">
        <v>644</v>
      </c>
      <c r="D11" s="14" t="s">
        <v>223</v>
      </c>
      <c r="E11" s="14" t="s">
        <v>39</v>
      </c>
      <c r="F11" s="32" t="s">
        <v>140</v>
      </c>
      <c r="G11" s="2">
        <v>2</v>
      </c>
      <c r="H11" t="s">
        <v>455</v>
      </c>
      <c r="I11" t="s">
        <v>471</v>
      </c>
      <c r="J11" s="14" t="s">
        <v>415</v>
      </c>
      <c r="K11" s="2" t="s">
        <v>458</v>
      </c>
      <c r="L11" s="14" t="s">
        <v>464</v>
      </c>
      <c r="M11" s="14" t="s">
        <v>906</v>
      </c>
      <c r="N11" s="2" t="s">
        <v>1449</v>
      </c>
      <c r="O11" s="10">
        <v>4</v>
      </c>
      <c r="P11" s="10"/>
      <c r="Q11" s="10">
        <v>123.75</v>
      </c>
      <c r="R11" s="9"/>
      <c r="S11" s="9"/>
      <c r="T11" s="9"/>
      <c r="U11" s="44">
        <v>142.3125</v>
      </c>
      <c r="V11" s="44">
        <v>35.578125</v>
      </c>
      <c r="W11" s="22">
        <v>23</v>
      </c>
      <c r="X11" s="22">
        <v>2.96484375</v>
      </c>
      <c r="AC11">
        <v>11</v>
      </c>
      <c r="AD11">
        <v>17</v>
      </c>
      <c r="AE11">
        <v>1</v>
      </c>
      <c r="AF11" s="22">
        <v>11.854166666666666</v>
      </c>
      <c r="AG11">
        <v>2</v>
      </c>
      <c r="AH11">
        <v>19</v>
      </c>
      <c r="AI11">
        <v>2.5</v>
      </c>
      <c r="AJ11" s="22">
        <v>2.96484375</v>
      </c>
      <c r="AK11" s="22">
        <v>1.9166666666666667</v>
      </c>
      <c r="BD11" s="22">
        <v>2.96484375</v>
      </c>
      <c r="BS11" s="20"/>
      <c r="BW11" s="44">
        <v>142.3125</v>
      </c>
      <c r="BX11" s="44">
        <v>35.578125</v>
      </c>
      <c r="CJ11">
        <v>1456</v>
      </c>
      <c r="CK11" s="2" t="s">
        <v>458</v>
      </c>
      <c r="CL11" t="s">
        <v>66</v>
      </c>
    </row>
    <row r="13" spans="1:90" ht="12.75">
      <c r="A13" s="18">
        <v>1459</v>
      </c>
      <c r="B13" s="14" t="s">
        <v>1117</v>
      </c>
      <c r="C13" s="14" t="s">
        <v>644</v>
      </c>
      <c r="D13" s="14" t="s">
        <v>226</v>
      </c>
      <c r="E13" s="14" t="s">
        <v>32</v>
      </c>
      <c r="F13" s="32" t="s">
        <v>171</v>
      </c>
      <c r="G13" s="2">
        <v>1</v>
      </c>
      <c r="H13" s="2" t="s">
        <v>455</v>
      </c>
      <c r="I13" s="2" t="s">
        <v>470</v>
      </c>
      <c r="J13" s="14" t="s">
        <v>415</v>
      </c>
      <c r="K13" s="2" t="s">
        <v>458</v>
      </c>
      <c r="L13" s="14" t="s">
        <v>464</v>
      </c>
      <c r="M13" s="14" t="s">
        <v>906</v>
      </c>
      <c r="N13" s="2" t="s">
        <v>5</v>
      </c>
      <c r="O13" s="10">
        <v>4</v>
      </c>
      <c r="P13" s="10"/>
      <c r="Q13" s="10">
        <v>121.75</v>
      </c>
      <c r="R13" s="9"/>
      <c r="S13" s="9"/>
      <c r="T13" s="9"/>
      <c r="U13" s="44">
        <v>112.6</v>
      </c>
      <c r="V13" s="44">
        <v>28.15</v>
      </c>
      <c r="W13" s="22">
        <v>18.496919917864474</v>
      </c>
      <c r="X13" s="22">
        <v>2.345833333333333</v>
      </c>
      <c r="AB13" s="44"/>
      <c r="AC13">
        <v>9</v>
      </c>
      <c r="AD13">
        <v>7</v>
      </c>
      <c r="AE13">
        <v>8</v>
      </c>
      <c r="AF13" s="22">
        <v>9.383333333333333</v>
      </c>
      <c r="AG13">
        <v>2</v>
      </c>
      <c r="AH13">
        <v>6</v>
      </c>
      <c r="AI13">
        <v>11</v>
      </c>
      <c r="AJ13" s="22">
        <v>2.345833333333333</v>
      </c>
      <c r="AK13" s="22">
        <v>1.5414099931553729</v>
      </c>
      <c r="AL13" s="34"/>
      <c r="AM13" s="34"/>
      <c r="AN13" s="34"/>
      <c r="AO13" s="34"/>
      <c r="AP13" s="34"/>
      <c r="AQ13" s="34"/>
      <c r="AR13" s="34"/>
      <c r="AS13" s="34"/>
      <c r="AT13" s="34"/>
      <c r="BP13" s="33"/>
      <c r="BS13" s="20"/>
      <c r="BW13" s="44">
        <v>112.6</v>
      </c>
      <c r="BX13" s="44">
        <v>28.15</v>
      </c>
      <c r="CJ13">
        <v>1459</v>
      </c>
      <c r="CK13" s="2" t="s">
        <v>458</v>
      </c>
      <c r="CL13" t="s">
        <v>77</v>
      </c>
    </row>
    <row r="15" spans="1:89" ht="12.75">
      <c r="A15" s="18">
        <v>1461</v>
      </c>
      <c r="B15" s="14" t="s">
        <v>1117</v>
      </c>
      <c r="C15" s="14" t="s">
        <v>644</v>
      </c>
      <c r="D15" s="14" t="s">
        <v>228</v>
      </c>
      <c r="E15" s="14" t="s">
        <v>37</v>
      </c>
      <c r="F15" s="32" t="s">
        <v>203</v>
      </c>
      <c r="G15" s="2">
        <v>2</v>
      </c>
      <c r="H15" s="2" t="s">
        <v>455</v>
      </c>
      <c r="I15" s="2" t="s">
        <v>468</v>
      </c>
      <c r="J15" s="14" t="s">
        <v>415</v>
      </c>
      <c r="K15" s="2" t="s">
        <v>458</v>
      </c>
      <c r="L15" s="14" t="s">
        <v>464</v>
      </c>
      <c r="M15" s="14" t="s">
        <v>906</v>
      </c>
      <c r="N15" s="2" t="s">
        <v>1137</v>
      </c>
      <c r="O15" s="10">
        <v>1</v>
      </c>
      <c r="P15" s="10"/>
      <c r="Q15" s="10"/>
      <c r="R15" s="9"/>
      <c r="S15" s="9"/>
      <c r="T15" s="9"/>
      <c r="U15" s="44">
        <v>31.65</v>
      </c>
      <c r="V15" s="44">
        <v>31.65</v>
      </c>
      <c r="W15" s="22"/>
      <c r="X15" s="22">
        <v>2.6375</v>
      </c>
      <c r="AB15" s="44"/>
      <c r="AC15">
        <v>2</v>
      </c>
      <c r="AD15">
        <v>12</v>
      </c>
      <c r="AE15">
        <v>9</v>
      </c>
      <c r="AF15" s="22">
        <v>2.6375</v>
      </c>
      <c r="AG15">
        <v>2</v>
      </c>
      <c r="AH15">
        <v>12</v>
      </c>
      <c r="AI15">
        <v>9</v>
      </c>
      <c r="AJ15" s="22">
        <v>2.6375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BG15" s="22">
        <v>2.6375</v>
      </c>
      <c r="BP15" s="33"/>
      <c r="BS15" s="20"/>
      <c r="BW15" s="44">
        <v>31.65</v>
      </c>
      <c r="BX15" s="44">
        <v>31.65</v>
      </c>
      <c r="CJ15">
        <v>1461</v>
      </c>
      <c r="CK15" s="2" t="s">
        <v>458</v>
      </c>
    </row>
    <row r="17" spans="1:89" ht="12.75">
      <c r="A17" s="18">
        <v>1464</v>
      </c>
      <c r="B17" s="14" t="s">
        <v>1117</v>
      </c>
      <c r="C17" s="14" t="s">
        <v>644</v>
      </c>
      <c r="D17" s="14" t="s">
        <v>231</v>
      </c>
      <c r="E17" s="14" t="s">
        <v>10</v>
      </c>
      <c r="F17" s="32" t="s">
        <v>249</v>
      </c>
      <c r="G17" s="2">
        <v>2</v>
      </c>
      <c r="H17" s="2" t="s">
        <v>455</v>
      </c>
      <c r="I17" s="2" t="s">
        <v>976</v>
      </c>
      <c r="J17" s="14" t="s">
        <v>415</v>
      </c>
      <c r="K17" s="2" t="s">
        <v>458</v>
      </c>
      <c r="L17" s="14" t="s">
        <v>464</v>
      </c>
      <c r="M17" s="14" t="s">
        <v>906</v>
      </c>
      <c r="N17" s="2" t="s">
        <v>922</v>
      </c>
      <c r="O17" s="10">
        <v>5</v>
      </c>
      <c r="P17" s="10"/>
      <c r="Q17" s="10"/>
      <c r="R17" s="9"/>
      <c r="S17" s="9"/>
      <c r="T17" s="9"/>
      <c r="U17" s="44">
        <v>161.65</v>
      </c>
      <c r="V17" s="44">
        <v>32.33</v>
      </c>
      <c r="W17" s="22"/>
      <c r="X17" s="22">
        <v>2.6941666666666664</v>
      </c>
      <c r="AB17" s="44"/>
      <c r="AC17">
        <v>13</v>
      </c>
      <c r="AD17">
        <v>9</v>
      </c>
      <c r="AE17">
        <v>5</v>
      </c>
      <c r="AF17" s="22">
        <v>13.470833333333333</v>
      </c>
      <c r="AG17">
        <v>2</v>
      </c>
      <c r="AH17">
        <v>13</v>
      </c>
      <c r="AI17">
        <v>10</v>
      </c>
      <c r="AJ17" s="22">
        <v>2.6941666666666664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BG17" s="22">
        <v>2.6941666666666664</v>
      </c>
      <c r="BP17" s="33"/>
      <c r="BS17" s="20"/>
      <c r="BW17" s="44">
        <v>161.65</v>
      </c>
      <c r="BX17" s="44">
        <v>32.33</v>
      </c>
      <c r="CJ17">
        <v>1464</v>
      </c>
      <c r="CK17" s="2" t="s">
        <v>458</v>
      </c>
    </row>
    <row r="18" spans="1:89" ht="12.75">
      <c r="A18" s="18">
        <v>1464</v>
      </c>
      <c r="B18" s="14" t="s">
        <v>1117</v>
      </c>
      <c r="C18" s="14" t="s">
        <v>644</v>
      </c>
      <c r="D18" s="14" t="s">
        <v>231</v>
      </c>
      <c r="E18" s="14" t="s">
        <v>10</v>
      </c>
      <c r="F18" s="32" t="s">
        <v>250</v>
      </c>
      <c r="G18" s="2">
        <v>2</v>
      </c>
      <c r="H18" s="2" t="s">
        <v>461</v>
      </c>
      <c r="I18" s="2" t="s">
        <v>786</v>
      </c>
      <c r="J18" s="14" t="s">
        <v>415</v>
      </c>
      <c r="K18" s="2" t="s">
        <v>776</v>
      </c>
      <c r="L18" s="14" t="s">
        <v>464</v>
      </c>
      <c r="M18" s="14" t="s">
        <v>906</v>
      </c>
      <c r="N18" s="2" t="s">
        <v>1639</v>
      </c>
      <c r="O18" s="10"/>
      <c r="P18" s="10">
        <v>80</v>
      </c>
      <c r="Q18" s="10"/>
      <c r="R18" s="9"/>
      <c r="S18" s="9"/>
      <c r="T18" s="9"/>
      <c r="U18" s="44">
        <v>84</v>
      </c>
      <c r="W18" s="22">
        <v>21</v>
      </c>
      <c r="X18" s="22"/>
      <c r="AB18" s="44"/>
      <c r="AC18">
        <v>7</v>
      </c>
      <c r="AD18">
        <v>0</v>
      </c>
      <c r="AE18">
        <v>0</v>
      </c>
      <c r="AF18" s="22">
        <v>7</v>
      </c>
      <c r="AK18" s="34">
        <v>1.75</v>
      </c>
      <c r="AL18" s="34"/>
      <c r="AM18" s="34"/>
      <c r="AN18" s="34"/>
      <c r="AO18" s="34"/>
      <c r="AP18" s="34"/>
      <c r="AQ18" s="34"/>
      <c r="AR18" s="34"/>
      <c r="AS18" s="34"/>
      <c r="AT18" s="34"/>
      <c r="BG18" s="7"/>
      <c r="BP18" s="33"/>
      <c r="BS18" s="20"/>
      <c r="BW18" s="44">
        <v>84</v>
      </c>
      <c r="BX18" s="44"/>
      <c r="CJ18">
        <v>1464</v>
      </c>
      <c r="CK18" s="2" t="s">
        <v>776</v>
      </c>
    </row>
    <row r="19" spans="1:90" ht="12.75">
      <c r="A19" s="18">
        <v>1464</v>
      </c>
      <c r="B19" s="14" t="s">
        <v>1117</v>
      </c>
      <c r="C19" s="14" t="s">
        <v>644</v>
      </c>
      <c r="D19" s="14" t="s">
        <v>231</v>
      </c>
      <c r="E19" s="14" t="s">
        <v>10</v>
      </c>
      <c r="F19" s="32" t="s">
        <v>251</v>
      </c>
      <c r="G19" s="2">
        <v>2</v>
      </c>
      <c r="H19" s="2" t="s">
        <v>455</v>
      </c>
      <c r="I19" s="2" t="s">
        <v>475</v>
      </c>
      <c r="J19" s="14" t="s">
        <v>415</v>
      </c>
      <c r="K19" s="2" t="s">
        <v>459</v>
      </c>
      <c r="L19" s="14" t="s">
        <v>464</v>
      </c>
      <c r="M19" s="14" t="s">
        <v>1668</v>
      </c>
      <c r="N19" s="2" t="s">
        <v>5</v>
      </c>
      <c r="O19" s="10">
        <v>2</v>
      </c>
      <c r="P19" s="10"/>
      <c r="Q19" s="10"/>
      <c r="R19" s="9"/>
      <c r="S19" s="9"/>
      <c r="T19" s="9"/>
      <c r="U19" s="44">
        <v>41.625</v>
      </c>
      <c r="V19" s="44">
        <v>20.8125</v>
      </c>
      <c r="W19" s="22"/>
      <c r="X19" s="22">
        <v>1.734375</v>
      </c>
      <c r="AB19" s="44"/>
      <c r="AF19" s="22">
        <v>3.46875</v>
      </c>
      <c r="AJ19" s="22">
        <v>1.734375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BG19" s="7"/>
      <c r="BP19" s="33"/>
      <c r="BS19" s="20"/>
      <c r="BW19" s="44">
        <v>41.625</v>
      </c>
      <c r="BX19" s="44">
        <v>20.8125</v>
      </c>
      <c r="CJ19">
        <v>1464</v>
      </c>
      <c r="CK19" s="2" t="s">
        <v>459</v>
      </c>
      <c r="CL19" t="s">
        <v>88</v>
      </c>
    </row>
    <row r="20" spans="1:89" ht="12.75">
      <c r="A20" s="18">
        <v>1464</v>
      </c>
      <c r="B20" s="14" t="s">
        <v>1117</v>
      </c>
      <c r="C20" s="14" t="s">
        <v>644</v>
      </c>
      <c r="D20" s="14" t="s">
        <v>231</v>
      </c>
      <c r="E20" s="14" t="s">
        <v>10</v>
      </c>
      <c r="F20" s="32" t="s">
        <v>252</v>
      </c>
      <c r="G20" s="2">
        <v>2</v>
      </c>
      <c r="H20" s="2" t="s">
        <v>455</v>
      </c>
      <c r="I20" s="2" t="s">
        <v>473</v>
      </c>
      <c r="J20" s="14" t="s">
        <v>415</v>
      </c>
      <c r="K20" s="2" t="s">
        <v>457</v>
      </c>
      <c r="L20" s="14" t="s">
        <v>464</v>
      </c>
      <c r="M20" s="14" t="s">
        <v>897</v>
      </c>
      <c r="N20" s="2" t="s">
        <v>5</v>
      </c>
      <c r="O20" s="10">
        <v>1</v>
      </c>
      <c r="P20" s="10"/>
      <c r="Q20" s="10"/>
      <c r="R20" s="9"/>
      <c r="S20" s="9"/>
      <c r="T20" s="9"/>
      <c r="U20" s="44">
        <v>20.8125</v>
      </c>
      <c r="V20" s="44">
        <v>20.8125</v>
      </c>
      <c r="W20" s="22"/>
      <c r="X20" s="22">
        <v>1.734375</v>
      </c>
      <c r="AB20" s="44"/>
      <c r="AF20" s="22">
        <v>1.734375</v>
      </c>
      <c r="AJ20" s="22">
        <v>1.734375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BG20" s="7"/>
      <c r="BP20" s="33"/>
      <c r="BS20" s="20"/>
      <c r="BW20" s="44">
        <v>20.8125</v>
      </c>
      <c r="BX20" s="44">
        <v>20.8125</v>
      </c>
      <c r="CJ20">
        <v>1464</v>
      </c>
      <c r="CK20" s="2" t="s">
        <v>457</v>
      </c>
    </row>
    <row r="21" spans="1:89" ht="12.75">
      <c r="A21" s="18">
        <v>1464</v>
      </c>
      <c r="B21" s="14" t="s">
        <v>1117</v>
      </c>
      <c r="C21" s="14" t="s">
        <v>644</v>
      </c>
      <c r="D21" s="14" t="s">
        <v>231</v>
      </c>
      <c r="E21" s="14" t="s">
        <v>10</v>
      </c>
      <c r="F21" s="32" t="s">
        <v>253</v>
      </c>
      <c r="G21" s="2">
        <v>2</v>
      </c>
      <c r="H21" s="2" t="s">
        <v>455</v>
      </c>
      <c r="I21" s="2" t="s">
        <v>474</v>
      </c>
      <c r="J21" s="14" t="s">
        <v>415</v>
      </c>
      <c r="K21" s="2" t="s">
        <v>460</v>
      </c>
      <c r="L21" s="14" t="s">
        <v>464</v>
      </c>
      <c r="M21" s="14" t="s">
        <v>1636</v>
      </c>
      <c r="N21" s="2" t="s">
        <v>5</v>
      </c>
      <c r="O21" s="10">
        <v>1</v>
      </c>
      <c r="P21" s="10"/>
      <c r="Q21" s="10"/>
      <c r="R21" s="9"/>
      <c r="S21" s="9"/>
      <c r="T21" s="9"/>
      <c r="U21" s="44">
        <v>20.8125</v>
      </c>
      <c r="V21" s="44">
        <v>20.8125</v>
      </c>
      <c r="X21" s="22">
        <v>1.734375</v>
      </c>
      <c r="AB21" s="44"/>
      <c r="AF21" s="22">
        <v>1.734375</v>
      </c>
      <c r="AJ21" s="22">
        <v>1.734375</v>
      </c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BS21" s="20"/>
      <c r="BW21" s="44">
        <v>20.8125</v>
      </c>
      <c r="BX21" s="44">
        <v>20.8125</v>
      </c>
      <c r="CJ21">
        <v>1464</v>
      </c>
      <c r="CK21" s="2" t="s">
        <v>460</v>
      </c>
    </row>
    <row r="22" spans="1:89" ht="12.75">
      <c r="A22" s="18">
        <v>1464</v>
      </c>
      <c r="B22" s="14" t="s">
        <v>1117</v>
      </c>
      <c r="C22" s="14" t="s">
        <v>644</v>
      </c>
      <c r="D22" s="14" t="s">
        <v>231</v>
      </c>
      <c r="E22" s="14" t="s">
        <v>10</v>
      </c>
      <c r="F22" s="32" t="s">
        <v>254</v>
      </c>
      <c r="G22" s="2">
        <v>2</v>
      </c>
      <c r="H22" s="2" t="s">
        <v>455</v>
      </c>
      <c r="I22" s="2" t="s">
        <v>474</v>
      </c>
      <c r="J22" s="14" t="s">
        <v>415</v>
      </c>
      <c r="K22" s="2" t="s">
        <v>460</v>
      </c>
      <c r="L22" s="14" t="s">
        <v>464</v>
      </c>
      <c r="M22" s="14" t="s">
        <v>1636</v>
      </c>
      <c r="N22" s="2" t="s">
        <v>387</v>
      </c>
      <c r="O22" s="10">
        <v>4</v>
      </c>
      <c r="P22" s="10"/>
      <c r="Q22" s="10"/>
      <c r="R22" s="9"/>
      <c r="S22" s="9"/>
      <c r="T22" s="9"/>
      <c r="U22" s="44">
        <v>30.2</v>
      </c>
      <c r="V22" s="44">
        <v>7.55</v>
      </c>
      <c r="W22" s="22"/>
      <c r="X22" s="22">
        <v>0.6291666666666667</v>
      </c>
      <c r="AB22" s="44"/>
      <c r="AC22">
        <v>2</v>
      </c>
      <c r="AD22">
        <v>10</v>
      </c>
      <c r="AE22">
        <v>4</v>
      </c>
      <c r="AF22" s="22">
        <v>2.5166666666666666</v>
      </c>
      <c r="AJ22" s="22">
        <v>0.6291666666666667</v>
      </c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BG22" s="22">
        <v>0.6291666666666667</v>
      </c>
      <c r="BP22" s="33"/>
      <c r="BS22" s="20"/>
      <c r="BW22" s="44">
        <v>30.2</v>
      </c>
      <c r="BX22" s="44">
        <v>7.55</v>
      </c>
      <c r="CJ22">
        <v>1464</v>
      </c>
      <c r="CK22" s="2" t="s">
        <v>460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</sheetPr>
  <dimension ref="A1:DA2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6.28125" style="0" customWidth="1"/>
    <col min="10" max="10" width="7.57421875" style="0" customWidth="1"/>
    <col min="11" max="11" width="30.00390625" style="0" customWidth="1"/>
    <col min="12" max="12" width="6.28125" style="0" customWidth="1"/>
    <col min="13" max="13" width="7.57421875" style="0" customWidth="1"/>
    <col min="14" max="14" width="20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0.00390625" style="0" customWidth="1"/>
    <col min="90" max="90" width="177.7109375" style="0" customWidth="1"/>
    <col min="91" max="91" width="13.421875" style="0" customWidth="1"/>
  </cols>
  <sheetData>
    <row r="1" spans="1:88" ht="12.75">
      <c r="A1" s="14"/>
      <c r="B1" s="18" t="s">
        <v>758</v>
      </c>
      <c r="C1" s="4"/>
      <c r="D1" s="3"/>
      <c r="E1" s="17"/>
      <c r="F1" s="4" t="s">
        <v>547</v>
      </c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26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1465</v>
      </c>
      <c r="B9" s="14" t="s">
        <v>1117</v>
      </c>
      <c r="C9" s="14" t="s">
        <v>644</v>
      </c>
      <c r="D9" s="14" t="s">
        <v>232</v>
      </c>
      <c r="E9" s="14" t="s">
        <v>10</v>
      </c>
      <c r="F9" s="32" t="s">
        <v>268</v>
      </c>
      <c r="G9" s="2">
        <v>2</v>
      </c>
      <c r="H9" s="2" t="s">
        <v>758</v>
      </c>
      <c r="I9" t="s">
        <v>1687</v>
      </c>
      <c r="J9" s="14" t="s">
        <v>415</v>
      </c>
      <c r="K9" s="2" t="s">
        <v>765</v>
      </c>
      <c r="L9" s="14" t="s">
        <v>773</v>
      </c>
      <c r="M9" s="14" t="s">
        <v>1636</v>
      </c>
      <c r="N9" s="2" t="s">
        <v>387</v>
      </c>
      <c r="O9" s="10">
        <v>6</v>
      </c>
      <c r="P9" s="10"/>
      <c r="Q9" s="10"/>
      <c r="R9" s="9"/>
      <c r="S9" s="9"/>
      <c r="T9" s="9"/>
      <c r="U9" s="44">
        <v>45</v>
      </c>
      <c r="V9" s="44">
        <v>7.5</v>
      </c>
      <c r="W9" s="22"/>
      <c r="X9" s="22">
        <v>0.625</v>
      </c>
      <c r="AB9" s="44"/>
      <c r="AC9">
        <v>3</v>
      </c>
      <c r="AD9">
        <v>15</v>
      </c>
      <c r="AE9">
        <v>0</v>
      </c>
      <c r="AF9" s="22">
        <v>3.75</v>
      </c>
      <c r="AH9">
        <v>12</v>
      </c>
      <c r="AI9">
        <v>6</v>
      </c>
      <c r="AJ9" s="22">
        <v>0.625</v>
      </c>
      <c r="AK9" s="34"/>
      <c r="AL9" s="34"/>
      <c r="AM9" s="34"/>
      <c r="AN9" s="34"/>
      <c r="AO9" s="34"/>
      <c r="AP9" s="34"/>
      <c r="AQ9" s="34"/>
      <c r="AR9" s="34"/>
      <c r="AS9" s="34"/>
      <c r="AT9" s="34"/>
      <c r="BG9" s="22">
        <v>0.625</v>
      </c>
      <c r="BP9" s="33"/>
      <c r="BS9" s="20"/>
      <c r="BW9" s="44">
        <v>45</v>
      </c>
      <c r="BX9" s="44">
        <v>7.5</v>
      </c>
      <c r="CJ9">
        <v>1465</v>
      </c>
      <c r="CK9" s="2" t="s">
        <v>765</v>
      </c>
      <c r="CL9" t="s">
        <v>1185</v>
      </c>
    </row>
    <row r="11" spans="1:89" ht="12.75">
      <c r="A11" s="18">
        <v>1467</v>
      </c>
      <c r="B11" s="14" t="s">
        <v>1117</v>
      </c>
      <c r="C11" s="14" t="s">
        <v>644</v>
      </c>
      <c r="D11" s="14" t="s">
        <v>234</v>
      </c>
      <c r="E11" s="14" t="s">
        <v>34</v>
      </c>
      <c r="F11" s="32" t="s">
        <v>283</v>
      </c>
      <c r="G11" s="2"/>
      <c r="H11" s="2" t="s">
        <v>758</v>
      </c>
      <c r="I11" s="2" t="s">
        <v>1688</v>
      </c>
      <c r="J11" s="14" t="s">
        <v>415</v>
      </c>
      <c r="K11" s="2" t="s">
        <v>764</v>
      </c>
      <c r="L11" s="14" t="s">
        <v>772</v>
      </c>
      <c r="M11" s="14" t="s">
        <v>1636</v>
      </c>
      <c r="N11" s="2" t="s">
        <v>742</v>
      </c>
      <c r="O11" s="10">
        <v>6</v>
      </c>
      <c r="P11" s="10"/>
      <c r="Q11" s="10"/>
      <c r="R11" s="9"/>
      <c r="S11" s="9"/>
      <c r="T11" s="9"/>
      <c r="U11" s="44">
        <v>39</v>
      </c>
      <c r="V11" s="44">
        <v>6.5</v>
      </c>
      <c r="W11" s="22"/>
      <c r="X11" s="22">
        <v>0.5416666666666666</v>
      </c>
      <c r="AC11">
        <v>3</v>
      </c>
      <c r="AD11">
        <v>5</v>
      </c>
      <c r="AE11">
        <v>0</v>
      </c>
      <c r="AF11" s="22">
        <v>3.25</v>
      </c>
      <c r="AH11">
        <v>10</v>
      </c>
      <c r="AI11">
        <v>10</v>
      </c>
      <c r="AJ11" s="22">
        <v>0.5416666666666666</v>
      </c>
      <c r="BG11" s="22">
        <v>0.5416666666666666</v>
      </c>
      <c r="BW11" s="44">
        <v>39</v>
      </c>
      <c r="BX11" s="44">
        <v>6.5</v>
      </c>
      <c r="CJ11">
        <v>1467</v>
      </c>
      <c r="CK11" s="2" t="s">
        <v>764</v>
      </c>
    </row>
    <row r="13" spans="1:89" ht="12.75">
      <c r="A13" s="18">
        <v>1468</v>
      </c>
      <c r="B13" s="14" t="s">
        <v>1117</v>
      </c>
      <c r="C13" s="14" t="s">
        <v>644</v>
      </c>
      <c r="D13" s="14" t="s">
        <v>364</v>
      </c>
      <c r="E13" s="14" t="s">
        <v>35</v>
      </c>
      <c r="F13" s="32" t="s">
        <v>298</v>
      </c>
      <c r="G13" s="2">
        <v>2</v>
      </c>
      <c r="H13" s="2" t="s">
        <v>758</v>
      </c>
      <c r="I13" s="2" t="s">
        <v>771</v>
      </c>
      <c r="J13" s="14" t="s">
        <v>415</v>
      </c>
      <c r="K13" s="2" t="s">
        <v>761</v>
      </c>
      <c r="L13" s="14" t="s">
        <v>772</v>
      </c>
      <c r="M13" s="14" t="s">
        <v>5</v>
      </c>
      <c r="N13" s="2" t="s">
        <v>742</v>
      </c>
      <c r="O13" s="10">
        <v>6</v>
      </c>
      <c r="P13" s="10"/>
      <c r="Q13" s="10"/>
      <c r="R13" s="9"/>
      <c r="S13" s="9"/>
      <c r="T13" s="9"/>
      <c r="U13" s="44">
        <v>45</v>
      </c>
      <c r="V13" s="44">
        <v>7.5</v>
      </c>
      <c r="W13" s="22"/>
      <c r="X13" s="22">
        <v>0.625</v>
      </c>
      <c r="AF13" s="22">
        <v>3.75</v>
      </c>
      <c r="AH13">
        <v>12</v>
      </c>
      <c r="AI13">
        <v>6</v>
      </c>
      <c r="AJ13" s="22">
        <v>0.625</v>
      </c>
      <c r="BG13" s="22">
        <v>0.625</v>
      </c>
      <c r="BW13" s="44">
        <v>45</v>
      </c>
      <c r="BX13" s="44">
        <v>7.5</v>
      </c>
      <c r="CJ13">
        <v>1468</v>
      </c>
      <c r="CK13" s="2" t="s">
        <v>761</v>
      </c>
    </row>
    <row r="15" spans="1:89" ht="12.75">
      <c r="A15" s="18">
        <v>1469</v>
      </c>
      <c r="B15" s="14" t="s">
        <v>1117</v>
      </c>
      <c r="C15" s="14" t="s">
        <v>644</v>
      </c>
      <c r="D15" s="14" t="s">
        <v>365</v>
      </c>
      <c r="E15" s="14" t="s">
        <v>370</v>
      </c>
      <c r="F15" s="32" t="s">
        <v>312</v>
      </c>
      <c r="G15" s="2">
        <v>2</v>
      </c>
      <c r="H15" s="2" t="s">
        <v>758</v>
      </c>
      <c r="I15" s="2" t="s">
        <v>754</v>
      </c>
      <c r="J15" s="14" t="s">
        <v>415</v>
      </c>
      <c r="K15" s="2" t="s">
        <v>760</v>
      </c>
      <c r="L15" s="14" t="s">
        <v>772</v>
      </c>
      <c r="M15" s="14" t="s">
        <v>5</v>
      </c>
      <c r="N15" s="2" t="s">
        <v>5</v>
      </c>
      <c r="O15" s="10">
        <v>6</v>
      </c>
      <c r="P15" s="10"/>
      <c r="Q15" s="10"/>
      <c r="R15" s="9"/>
      <c r="S15" s="9"/>
      <c r="T15" s="9"/>
      <c r="U15" s="44">
        <v>43.2</v>
      </c>
      <c r="V15" s="44">
        <v>7.199999999999999</v>
      </c>
      <c r="W15" s="22"/>
      <c r="X15" s="22">
        <v>0.6</v>
      </c>
      <c r="AC15">
        <v>3</v>
      </c>
      <c r="AD15">
        <v>12</v>
      </c>
      <c r="AE15">
        <v>0</v>
      </c>
      <c r="AF15" s="22">
        <v>3.6</v>
      </c>
      <c r="AH15">
        <v>12</v>
      </c>
      <c r="AI15">
        <v>0</v>
      </c>
      <c r="AJ15" s="22">
        <v>0.6</v>
      </c>
      <c r="BW15" s="44">
        <v>43.2</v>
      </c>
      <c r="BX15" s="44">
        <v>7.199999999999999</v>
      </c>
      <c r="CJ15">
        <v>1469</v>
      </c>
      <c r="CK15" s="2" t="s">
        <v>760</v>
      </c>
    </row>
    <row r="17" spans="1:89" ht="12.75">
      <c r="A17" s="18">
        <v>1470</v>
      </c>
      <c r="B17" s="14" t="s">
        <v>1117</v>
      </c>
      <c r="C17" s="14" t="s">
        <v>644</v>
      </c>
      <c r="D17" s="14" t="s">
        <v>235</v>
      </c>
      <c r="E17" s="14" t="s">
        <v>373</v>
      </c>
      <c r="F17" s="32" t="s">
        <v>320</v>
      </c>
      <c r="G17" s="2">
        <v>2</v>
      </c>
      <c r="H17" s="2" t="s">
        <v>758</v>
      </c>
      <c r="I17" s="2" t="s">
        <v>756</v>
      </c>
      <c r="J17" s="14" t="s">
        <v>415</v>
      </c>
      <c r="K17" s="2" t="s">
        <v>760</v>
      </c>
      <c r="L17" s="14" t="s">
        <v>772</v>
      </c>
      <c r="M17" s="14" t="s">
        <v>5</v>
      </c>
      <c r="N17" s="2" t="s">
        <v>743</v>
      </c>
      <c r="O17" s="10">
        <v>6</v>
      </c>
      <c r="P17" s="10"/>
      <c r="Q17" s="10"/>
      <c r="R17" s="9"/>
      <c r="S17" s="9"/>
      <c r="T17" s="9"/>
      <c r="U17" s="44">
        <v>41.4</v>
      </c>
      <c r="V17" s="44">
        <v>6.9</v>
      </c>
      <c r="W17" s="22"/>
      <c r="X17" s="22">
        <v>0.575</v>
      </c>
      <c r="AF17" s="22">
        <v>0</v>
      </c>
      <c r="AJ17" s="22">
        <v>0.575</v>
      </c>
      <c r="BG17" s="22">
        <v>0.575</v>
      </c>
      <c r="BW17" s="44">
        <v>41.4</v>
      </c>
      <c r="BX17" s="44">
        <v>6.9</v>
      </c>
      <c r="CJ17">
        <v>1470</v>
      </c>
      <c r="CK17" s="2" t="s">
        <v>760</v>
      </c>
    </row>
    <row r="19" spans="1:90" ht="12.75">
      <c r="A19" s="18">
        <v>1471</v>
      </c>
      <c r="B19" s="14" t="s">
        <v>1117</v>
      </c>
      <c r="C19" s="14" t="s">
        <v>644</v>
      </c>
      <c r="D19" s="14" t="s">
        <v>236</v>
      </c>
      <c r="E19" s="14" t="s">
        <v>372</v>
      </c>
      <c r="F19" s="32" t="s">
        <v>333</v>
      </c>
      <c r="G19" s="2">
        <v>2</v>
      </c>
      <c r="H19" s="2" t="s">
        <v>758</v>
      </c>
      <c r="I19" s="2" t="s">
        <v>755</v>
      </c>
      <c r="J19" s="14" t="s">
        <v>415</v>
      </c>
      <c r="K19" s="2" t="s">
        <v>760</v>
      </c>
      <c r="L19" s="14" t="s">
        <v>772</v>
      </c>
      <c r="M19" s="14" t="s">
        <v>1595</v>
      </c>
      <c r="N19" s="2" t="s">
        <v>743</v>
      </c>
      <c r="O19" s="10">
        <v>6</v>
      </c>
      <c r="P19" s="10"/>
      <c r="Q19" s="10"/>
      <c r="R19" s="9"/>
      <c r="S19" s="9"/>
      <c r="T19" s="9"/>
      <c r="U19" s="44">
        <v>37.800000000000004</v>
      </c>
      <c r="V19" s="44">
        <v>6.300000000000001</v>
      </c>
      <c r="W19" s="22"/>
      <c r="X19" s="22">
        <v>0.525</v>
      </c>
      <c r="AF19" s="22">
        <v>3.1500000000000004</v>
      </c>
      <c r="AH19">
        <v>10</v>
      </c>
      <c r="AI19">
        <v>6</v>
      </c>
      <c r="AJ19" s="6">
        <v>0.525</v>
      </c>
      <c r="BG19" s="6">
        <v>0.525</v>
      </c>
      <c r="BW19" s="44">
        <v>37.800000000000004</v>
      </c>
      <c r="BX19" s="44">
        <v>6.300000000000001</v>
      </c>
      <c r="CJ19">
        <v>1471</v>
      </c>
      <c r="CK19" s="2" t="s">
        <v>760</v>
      </c>
      <c r="CL19" t="s">
        <v>78</v>
      </c>
    </row>
    <row r="21" spans="1:89" ht="12.75">
      <c r="A21" s="18">
        <v>1472</v>
      </c>
      <c r="B21" s="14" t="s">
        <v>1117</v>
      </c>
      <c r="C21" s="14" t="s">
        <v>644</v>
      </c>
      <c r="D21" s="14" t="s">
        <v>237</v>
      </c>
      <c r="E21" s="14" t="s">
        <v>373</v>
      </c>
      <c r="F21" s="32" t="s">
        <v>345</v>
      </c>
      <c r="G21" s="2">
        <v>2</v>
      </c>
      <c r="H21" s="2" t="s">
        <v>758</v>
      </c>
      <c r="I21" s="2" t="s">
        <v>1686</v>
      </c>
      <c r="J21" s="14" t="s">
        <v>415</v>
      </c>
      <c r="K21" s="2" t="s">
        <v>763</v>
      </c>
      <c r="L21" s="14" t="s">
        <v>773</v>
      </c>
      <c r="M21" s="14" t="s">
        <v>1636</v>
      </c>
      <c r="N21" s="2" t="s">
        <v>387</v>
      </c>
      <c r="O21" s="10">
        <v>6</v>
      </c>
      <c r="P21" s="10"/>
      <c r="Q21" s="10"/>
      <c r="R21" s="9"/>
      <c r="S21" s="9"/>
      <c r="T21" s="9"/>
      <c r="U21" s="44">
        <v>45</v>
      </c>
      <c r="V21" s="44">
        <v>7.5</v>
      </c>
      <c r="W21" s="22"/>
      <c r="X21" s="22">
        <v>0.625</v>
      </c>
      <c r="AF21" s="22">
        <v>3.75</v>
      </c>
      <c r="AH21">
        <v>12</v>
      </c>
      <c r="AI21">
        <v>6</v>
      </c>
      <c r="AJ21" s="6">
        <v>0.625</v>
      </c>
      <c r="BG21" s="6">
        <v>0.625</v>
      </c>
      <c r="BW21" s="44">
        <v>45</v>
      </c>
      <c r="BX21" s="44">
        <v>7.5</v>
      </c>
      <c r="CJ21">
        <v>1472</v>
      </c>
      <c r="CK21" s="2" t="s">
        <v>763</v>
      </c>
    </row>
    <row r="23" spans="1:90" ht="12.75">
      <c r="A23" s="18">
        <v>1473</v>
      </c>
      <c r="B23" s="14" t="s">
        <v>1117</v>
      </c>
      <c r="C23" s="14" t="s">
        <v>644</v>
      </c>
      <c r="D23" s="14" t="s">
        <v>238</v>
      </c>
      <c r="E23" s="14" t="s">
        <v>375</v>
      </c>
      <c r="F23" s="32" t="s">
        <v>360</v>
      </c>
      <c r="G23" s="2">
        <v>2</v>
      </c>
      <c r="H23" s="2" t="s">
        <v>758</v>
      </c>
      <c r="I23" s="2" t="s">
        <v>753</v>
      </c>
      <c r="J23" s="14" t="s">
        <v>415</v>
      </c>
      <c r="K23" s="2" t="s">
        <v>765</v>
      </c>
      <c r="L23" s="14" t="s">
        <v>773</v>
      </c>
      <c r="M23" s="14" t="s">
        <v>1636</v>
      </c>
      <c r="N23" s="2" t="s">
        <v>387</v>
      </c>
      <c r="O23" s="10">
        <v>8</v>
      </c>
      <c r="P23" s="10"/>
      <c r="Q23" s="10"/>
      <c r="R23" s="9"/>
      <c r="S23" s="9"/>
      <c r="T23" s="9"/>
      <c r="U23" s="44">
        <v>50.35</v>
      </c>
      <c r="V23" s="44">
        <v>6.29375</v>
      </c>
      <c r="W23" s="22"/>
      <c r="X23" s="22">
        <v>0.5244791666666667</v>
      </c>
      <c r="AC23">
        <v>4</v>
      </c>
      <c r="AD23">
        <v>3</v>
      </c>
      <c r="AE23">
        <v>11</v>
      </c>
      <c r="AF23" s="22">
        <v>4.195833333333334</v>
      </c>
      <c r="AJ23" s="6">
        <v>0.5244791666666667</v>
      </c>
      <c r="BG23" s="6">
        <v>0.5244791666666667</v>
      </c>
      <c r="BW23" s="44">
        <v>50.35</v>
      </c>
      <c r="BX23" s="44">
        <v>6.29375</v>
      </c>
      <c r="CJ23">
        <v>1473</v>
      </c>
      <c r="CK23" s="2" t="s">
        <v>765</v>
      </c>
      <c r="CL23" t="s">
        <v>53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9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9.57421875" style="0" customWidth="1"/>
    <col min="10" max="10" width="7.57421875" style="0" customWidth="1"/>
    <col min="11" max="11" width="26.421875" style="0" customWidth="1"/>
    <col min="12" max="12" width="6.28125" style="0" customWidth="1"/>
    <col min="13" max="13" width="7.57421875" style="0" customWidth="1"/>
    <col min="14" max="14" width="26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6.421875" style="0" customWidth="1"/>
    <col min="90" max="90" width="187.8515625" style="0" customWidth="1"/>
    <col min="91" max="91" width="13.421875" style="0" customWidth="1"/>
  </cols>
  <sheetData>
    <row r="1" spans="1:88" ht="12.75">
      <c r="A1" s="14"/>
      <c r="B1" s="18" t="s">
        <v>12</v>
      </c>
      <c r="C1" s="4"/>
      <c r="D1" s="3"/>
      <c r="E1" s="4" t="s">
        <v>547</v>
      </c>
      <c r="F1" s="25"/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26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1467</v>
      </c>
      <c r="B9" s="14" t="s">
        <v>1117</v>
      </c>
      <c r="C9" s="14" t="s">
        <v>644</v>
      </c>
      <c r="D9" s="14" t="s">
        <v>234</v>
      </c>
      <c r="E9" s="14" t="s">
        <v>34</v>
      </c>
      <c r="F9" s="32" t="s">
        <v>282</v>
      </c>
      <c r="G9" s="2"/>
      <c r="H9" s="2" t="s">
        <v>12</v>
      </c>
      <c r="I9" s="2" t="s">
        <v>732</v>
      </c>
      <c r="J9" s="14" t="s">
        <v>415</v>
      </c>
      <c r="K9" s="2" t="s">
        <v>16</v>
      </c>
      <c r="L9" s="14" t="s">
        <v>389</v>
      </c>
      <c r="M9" s="14" t="s">
        <v>904</v>
      </c>
      <c r="N9" s="2" t="s">
        <v>1440</v>
      </c>
      <c r="O9" s="10">
        <v>4</v>
      </c>
      <c r="P9" s="10"/>
      <c r="Q9" s="10"/>
      <c r="R9" s="9"/>
      <c r="S9" s="9"/>
      <c r="T9" s="9"/>
      <c r="U9" s="44">
        <v>150</v>
      </c>
      <c r="V9" s="44">
        <v>37.5</v>
      </c>
      <c r="W9" s="22"/>
      <c r="X9" s="22">
        <v>3.125</v>
      </c>
      <c r="AC9">
        <v>12</v>
      </c>
      <c r="AD9">
        <v>10</v>
      </c>
      <c r="AE9">
        <v>0</v>
      </c>
      <c r="AF9" s="22">
        <v>12.5</v>
      </c>
      <c r="AG9">
        <v>3</v>
      </c>
      <c r="AH9">
        <v>2</v>
      </c>
      <c r="AI9">
        <v>6</v>
      </c>
      <c r="AJ9" s="22">
        <v>3.125</v>
      </c>
      <c r="BD9" s="22">
        <v>3.125</v>
      </c>
      <c r="BG9" s="22">
        <v>3.125</v>
      </c>
      <c r="BW9" s="44">
        <v>150</v>
      </c>
      <c r="BX9" s="44">
        <v>37.5</v>
      </c>
      <c r="CJ9">
        <v>1467</v>
      </c>
      <c r="CK9" s="2" t="s">
        <v>16</v>
      </c>
      <c r="CL9" t="s">
        <v>58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50"/>
  </sheetPr>
  <dimension ref="A1:DA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9.281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26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117.421875" style="0" customWidth="1"/>
    <col min="91" max="91" width="13.421875" style="0" customWidth="1"/>
  </cols>
  <sheetData>
    <row r="1" spans="1:88" ht="12.75">
      <c r="A1" s="14"/>
      <c r="B1" s="18" t="s">
        <v>1407</v>
      </c>
      <c r="C1" s="4"/>
      <c r="D1" s="3"/>
      <c r="E1" s="17"/>
      <c r="F1" s="4" t="s">
        <v>547</v>
      </c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26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1468</v>
      </c>
      <c r="B9" s="14" t="s">
        <v>1117</v>
      </c>
      <c r="C9" s="14" t="s">
        <v>644</v>
      </c>
      <c r="D9" s="14" t="s">
        <v>364</v>
      </c>
      <c r="E9" s="14" t="s">
        <v>35</v>
      </c>
      <c r="F9" s="32" t="s">
        <v>289</v>
      </c>
      <c r="G9" s="2">
        <v>1</v>
      </c>
      <c r="H9" s="2" t="s">
        <v>1407</v>
      </c>
      <c r="I9" s="2" t="s">
        <v>1545</v>
      </c>
      <c r="J9" s="14" t="s">
        <v>415</v>
      </c>
      <c r="K9" s="2" t="s">
        <v>1410</v>
      </c>
      <c r="L9" s="14" t="s">
        <v>1389</v>
      </c>
      <c r="M9" s="14" t="s">
        <v>1535</v>
      </c>
      <c r="N9" s="2" t="s">
        <v>1436</v>
      </c>
      <c r="O9" s="10">
        <v>5</v>
      </c>
      <c r="P9" s="10"/>
      <c r="Q9" s="10">
        <v>157.5</v>
      </c>
      <c r="R9" s="9"/>
      <c r="S9" s="9"/>
      <c r="T9" s="9"/>
      <c r="U9" s="44">
        <v>118.125</v>
      </c>
      <c r="V9" s="44">
        <v>23.625</v>
      </c>
      <c r="W9" s="22">
        <v>15</v>
      </c>
      <c r="X9" s="22">
        <v>1.96875</v>
      </c>
      <c r="AC9">
        <v>9</v>
      </c>
      <c r="AD9">
        <v>16</v>
      </c>
      <c r="AE9">
        <v>10</v>
      </c>
      <c r="AF9" s="22">
        <v>9.841666666666667</v>
      </c>
      <c r="AG9">
        <v>1</v>
      </c>
      <c r="AH9">
        <v>19</v>
      </c>
      <c r="AI9">
        <v>4</v>
      </c>
      <c r="AJ9" s="22">
        <v>1.96875</v>
      </c>
      <c r="AK9" s="22">
        <v>1.25</v>
      </c>
      <c r="BD9" s="22">
        <v>1.96875</v>
      </c>
      <c r="BG9" s="22">
        <v>1.96875</v>
      </c>
      <c r="BW9" s="44">
        <v>118.125</v>
      </c>
      <c r="BX9" s="44">
        <v>23.625</v>
      </c>
      <c r="CJ9">
        <v>1468</v>
      </c>
      <c r="CK9" s="2" t="s">
        <v>1410</v>
      </c>
      <c r="CL9" t="s">
        <v>64</v>
      </c>
    </row>
    <row r="10" spans="1:90" ht="12.75">
      <c r="A10" s="18">
        <v>1468</v>
      </c>
      <c r="B10" s="14" t="s">
        <v>1117</v>
      </c>
      <c r="C10" s="14" t="s">
        <v>644</v>
      </c>
      <c r="D10" s="14" t="s">
        <v>364</v>
      </c>
      <c r="E10" s="14" t="s">
        <v>35</v>
      </c>
      <c r="F10" s="32" t="s">
        <v>290</v>
      </c>
      <c r="G10" s="2">
        <v>1</v>
      </c>
      <c r="H10" s="2" t="s">
        <v>1407</v>
      </c>
      <c r="I10" s="2" t="s">
        <v>1547</v>
      </c>
      <c r="J10" s="14" t="s">
        <v>415</v>
      </c>
      <c r="K10" s="2" t="s">
        <v>1410</v>
      </c>
      <c r="L10" s="14" t="s">
        <v>1389</v>
      </c>
      <c r="M10" s="14" t="s">
        <v>1535</v>
      </c>
      <c r="N10" s="2" t="s">
        <v>1432</v>
      </c>
      <c r="O10" s="10">
        <v>1</v>
      </c>
      <c r="P10" s="10"/>
      <c r="Q10" s="10">
        <v>36</v>
      </c>
      <c r="R10" s="9"/>
      <c r="S10" s="9"/>
      <c r="T10" s="9"/>
      <c r="U10" s="44">
        <v>27</v>
      </c>
      <c r="V10" s="44">
        <v>27</v>
      </c>
      <c r="W10" s="22">
        <v>15</v>
      </c>
      <c r="X10" s="22">
        <v>2.25</v>
      </c>
      <c r="AC10">
        <v>2</v>
      </c>
      <c r="AD10">
        <v>5</v>
      </c>
      <c r="AE10">
        <v>0</v>
      </c>
      <c r="AF10" s="22">
        <v>2.25</v>
      </c>
      <c r="AG10">
        <v>2</v>
      </c>
      <c r="AH10">
        <v>5</v>
      </c>
      <c r="AI10">
        <v>0</v>
      </c>
      <c r="AJ10" s="22">
        <v>2.25</v>
      </c>
      <c r="AK10" s="22">
        <v>1.25</v>
      </c>
      <c r="BD10" s="22">
        <v>2.25</v>
      </c>
      <c r="BG10" s="22">
        <v>2.25</v>
      </c>
      <c r="BW10" s="44">
        <v>27</v>
      </c>
      <c r="BX10" s="44">
        <v>27</v>
      </c>
      <c r="CJ10">
        <v>1468</v>
      </c>
      <c r="CK10" s="2" t="s">
        <v>1410</v>
      </c>
      <c r="CL10" t="s">
        <v>51</v>
      </c>
    </row>
    <row r="12" spans="1:89" ht="12.75">
      <c r="A12" s="18">
        <v>1468</v>
      </c>
      <c r="B12" s="14" t="s">
        <v>1117</v>
      </c>
      <c r="C12" s="14" t="s">
        <v>644</v>
      </c>
      <c r="D12" s="14" t="s">
        <v>364</v>
      </c>
      <c r="E12" s="14" t="s">
        <v>35</v>
      </c>
      <c r="F12" s="32" t="s">
        <v>291</v>
      </c>
      <c r="G12" s="2">
        <v>2</v>
      </c>
      <c r="H12" s="2" t="s">
        <v>1407</v>
      </c>
      <c r="I12" s="2" t="s">
        <v>1548</v>
      </c>
      <c r="J12" s="14" t="s">
        <v>415</v>
      </c>
      <c r="K12" s="2" t="s">
        <v>1410</v>
      </c>
      <c r="L12" s="14" t="s">
        <v>1389</v>
      </c>
      <c r="M12" s="14" t="s">
        <v>1535</v>
      </c>
      <c r="N12" s="2" t="s">
        <v>1439</v>
      </c>
      <c r="O12" s="10">
        <v>1</v>
      </c>
      <c r="P12" s="10"/>
      <c r="Q12" s="10">
        <v>31</v>
      </c>
      <c r="R12" s="9"/>
      <c r="S12" s="9"/>
      <c r="T12" s="9"/>
      <c r="U12" s="44">
        <v>26.35</v>
      </c>
      <c r="V12" s="44">
        <v>26.35</v>
      </c>
      <c r="W12" s="22">
        <v>17</v>
      </c>
      <c r="X12" s="22">
        <v>2.1958333333333333</v>
      </c>
      <c r="AC12">
        <v>2</v>
      </c>
      <c r="AD12">
        <v>3</v>
      </c>
      <c r="AE12">
        <v>11</v>
      </c>
      <c r="AF12" s="22">
        <v>2.1958333333333333</v>
      </c>
      <c r="AG12">
        <v>2</v>
      </c>
      <c r="AH12">
        <v>3</v>
      </c>
      <c r="AI12">
        <v>11</v>
      </c>
      <c r="AJ12" s="22">
        <v>2.1958333333333333</v>
      </c>
      <c r="AK12" s="22">
        <v>1.4166666666666667</v>
      </c>
      <c r="BD12" s="22">
        <v>2.1958333333333333</v>
      </c>
      <c r="BG12" s="22">
        <v>2.1958333333333333</v>
      </c>
      <c r="BW12" s="44">
        <v>26.35</v>
      </c>
      <c r="BX12" s="44">
        <v>26.35</v>
      </c>
      <c r="CJ12">
        <v>1468</v>
      </c>
      <c r="CK12" s="2" t="s">
        <v>1410</v>
      </c>
    </row>
    <row r="13" spans="1:90" ht="12.75">
      <c r="A13" s="18">
        <v>1468</v>
      </c>
      <c r="B13" s="14" t="s">
        <v>1117</v>
      </c>
      <c r="C13" s="14" t="s">
        <v>644</v>
      </c>
      <c r="D13" s="14" t="s">
        <v>364</v>
      </c>
      <c r="E13" s="14" t="s">
        <v>35</v>
      </c>
      <c r="F13" s="32" t="s">
        <v>293</v>
      </c>
      <c r="G13" s="2">
        <v>2</v>
      </c>
      <c r="H13" s="2" t="s">
        <v>1407</v>
      </c>
      <c r="I13" s="2" t="s">
        <v>1546</v>
      </c>
      <c r="J13" s="14" t="s">
        <v>415</v>
      </c>
      <c r="K13" s="2" t="s">
        <v>1410</v>
      </c>
      <c r="L13" s="14" t="s">
        <v>1389</v>
      </c>
      <c r="M13" s="14" t="s">
        <v>1535</v>
      </c>
      <c r="N13" s="2" t="s">
        <v>5</v>
      </c>
      <c r="O13" s="10">
        <v>1</v>
      </c>
      <c r="P13" s="10"/>
      <c r="Q13" s="10">
        <v>32.5</v>
      </c>
      <c r="R13" s="9"/>
      <c r="S13" s="9"/>
      <c r="T13" s="9"/>
      <c r="U13" s="44">
        <v>24.375</v>
      </c>
      <c r="V13" s="44">
        <v>24.375</v>
      </c>
      <c r="W13" s="22">
        <v>15</v>
      </c>
      <c r="X13" s="22">
        <v>2.03125</v>
      </c>
      <c r="AF13" s="22">
        <v>2.03125</v>
      </c>
      <c r="AJ13" s="22">
        <v>2.03125</v>
      </c>
      <c r="AK13" s="22">
        <v>1.25</v>
      </c>
      <c r="BW13" s="44">
        <v>24.375</v>
      </c>
      <c r="BX13" s="44">
        <v>24.375</v>
      </c>
      <c r="CJ13">
        <v>1468</v>
      </c>
      <c r="CK13" s="2" t="s">
        <v>1410</v>
      </c>
      <c r="CL13" t="s">
        <v>81</v>
      </c>
    </row>
    <row r="14" spans="1:89" ht="12.75">
      <c r="A14" s="18">
        <v>1468</v>
      </c>
      <c r="B14" s="14" t="s">
        <v>1117</v>
      </c>
      <c r="C14" s="14" t="s">
        <v>644</v>
      </c>
      <c r="D14" s="14" t="s">
        <v>364</v>
      </c>
      <c r="E14" s="14" t="s">
        <v>35</v>
      </c>
      <c r="F14" s="32" t="s">
        <v>294</v>
      </c>
      <c r="G14" s="2">
        <v>2</v>
      </c>
      <c r="H14" s="2" t="s">
        <v>1407</v>
      </c>
      <c r="I14" s="2" t="s">
        <v>1546</v>
      </c>
      <c r="J14" s="14" t="s">
        <v>415</v>
      </c>
      <c r="K14" s="2" t="s">
        <v>1410</v>
      </c>
      <c r="L14" s="14" t="s">
        <v>1389</v>
      </c>
      <c r="M14" s="14" t="s">
        <v>1535</v>
      </c>
      <c r="N14" s="2" t="s">
        <v>5</v>
      </c>
      <c r="O14" s="10">
        <v>1</v>
      </c>
      <c r="P14" s="10"/>
      <c r="Q14" s="10">
        <v>34.25</v>
      </c>
      <c r="R14" s="9"/>
      <c r="S14" s="9"/>
      <c r="T14" s="9"/>
      <c r="U14" s="44">
        <v>27.4</v>
      </c>
      <c r="V14" s="44">
        <v>27.4</v>
      </c>
      <c r="W14" s="22">
        <v>16</v>
      </c>
      <c r="X14" s="22">
        <v>2.283333333333333</v>
      </c>
      <c r="AF14" s="22">
        <v>2.283333333333333</v>
      </c>
      <c r="AJ14" s="22">
        <v>2.283333333333333</v>
      </c>
      <c r="AK14" s="22">
        <v>1.3333333333333333</v>
      </c>
      <c r="BW14" s="44">
        <v>27.4</v>
      </c>
      <c r="BX14" s="44">
        <v>27.4</v>
      </c>
      <c r="CJ14">
        <v>1468</v>
      </c>
      <c r="CK14" s="2" t="s">
        <v>1410</v>
      </c>
    </row>
    <row r="15" spans="1:89" ht="12.75">
      <c r="A15" s="18">
        <v>1468</v>
      </c>
      <c r="B15" s="14" t="s">
        <v>1117</v>
      </c>
      <c r="C15" s="14" t="s">
        <v>644</v>
      </c>
      <c r="D15" s="14" t="s">
        <v>364</v>
      </c>
      <c r="E15" s="14" t="s">
        <v>35</v>
      </c>
      <c r="F15" s="32" t="s">
        <v>295</v>
      </c>
      <c r="G15" s="2">
        <v>2</v>
      </c>
      <c r="H15" s="2" t="s">
        <v>1407</v>
      </c>
      <c r="I15" s="2" t="s">
        <v>1539</v>
      </c>
      <c r="J15" s="14" t="s">
        <v>415</v>
      </c>
      <c r="K15" s="2" t="s">
        <v>1410</v>
      </c>
      <c r="L15" s="14" t="s">
        <v>1389</v>
      </c>
      <c r="M15" s="14" t="s">
        <v>1535</v>
      </c>
      <c r="N15" s="2" t="s">
        <v>367</v>
      </c>
      <c r="O15" s="10">
        <v>2</v>
      </c>
      <c r="P15" s="10"/>
      <c r="Q15" s="10"/>
      <c r="R15" s="9"/>
      <c r="S15" s="9"/>
      <c r="T15" s="9"/>
      <c r="U15" s="44">
        <v>47.95</v>
      </c>
      <c r="V15" s="44">
        <v>23.975</v>
      </c>
      <c r="W15" s="22">
        <v>19</v>
      </c>
      <c r="X15" s="22">
        <v>1.9979166666666668</v>
      </c>
      <c r="AC15">
        <v>3</v>
      </c>
      <c r="AD15">
        <v>19</v>
      </c>
      <c r="AE15">
        <v>11</v>
      </c>
      <c r="AF15" s="22">
        <v>3.995833333333333</v>
      </c>
      <c r="AJ15" s="22">
        <v>1.9979166666666668</v>
      </c>
      <c r="AK15" s="22">
        <v>1.5833333333333333</v>
      </c>
      <c r="BG15" s="22">
        <v>1.9979166666666668</v>
      </c>
      <c r="BW15" s="44">
        <v>47.95</v>
      </c>
      <c r="BX15" s="44">
        <v>23.975</v>
      </c>
      <c r="CJ15">
        <v>1468</v>
      </c>
      <c r="CK15" s="2" t="s">
        <v>1410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17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11.00390625" style="0" customWidth="1"/>
    <col min="7" max="7" width="8.7109375" style="0" customWidth="1"/>
    <col min="8" max="8" width="12.8515625" style="0" customWidth="1"/>
    <col min="9" max="9" width="71.140625" style="0" customWidth="1"/>
    <col min="10" max="10" width="7.57421875" style="0" customWidth="1"/>
    <col min="11" max="11" width="52.28125" style="0" customWidth="1"/>
    <col min="12" max="12" width="9.00390625" style="0" customWidth="1"/>
    <col min="13" max="13" width="12.421875" style="0" customWidth="1"/>
    <col min="14" max="14" width="83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52.28125" style="0" customWidth="1"/>
    <col min="90" max="90" width="184.28125" style="0" customWidth="1"/>
    <col min="91" max="91" width="13.421875" style="0" customWidth="1"/>
  </cols>
  <sheetData>
    <row r="1" spans="1:88" ht="12.75">
      <c r="A1" s="14"/>
      <c r="B1" s="18" t="s">
        <v>537</v>
      </c>
      <c r="C1" s="4"/>
      <c r="D1" s="3"/>
      <c r="E1" s="4" t="s">
        <v>547</v>
      </c>
      <c r="F1" s="25"/>
      <c r="G1" s="38"/>
      <c r="H1" s="3"/>
      <c r="I1" s="2"/>
      <c r="J1" s="16"/>
      <c r="K1" s="17"/>
      <c r="L1" s="16"/>
      <c r="M1" s="16"/>
      <c r="N1" s="2"/>
      <c r="O1" s="40"/>
      <c r="P1" s="40"/>
      <c r="Q1" s="40"/>
      <c r="R1" s="25"/>
      <c r="S1" s="25"/>
      <c r="T1" s="25"/>
      <c r="U1" s="34"/>
      <c r="V1" s="34"/>
      <c r="W1" s="34"/>
      <c r="X1" s="34"/>
      <c r="Y1" s="34"/>
      <c r="Z1" s="34"/>
      <c r="AA1" s="34"/>
      <c r="AB1" s="34"/>
      <c r="AC1" s="31"/>
      <c r="AD1" s="31"/>
      <c r="AE1" s="31"/>
      <c r="AF1" s="31"/>
      <c r="AG1" s="31"/>
      <c r="AH1" s="31"/>
      <c r="AI1" s="31"/>
      <c r="AJ1" s="7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3"/>
      <c r="BB1" s="34"/>
      <c r="BC1" s="34"/>
      <c r="BD1" s="34"/>
      <c r="BE1" s="34"/>
      <c r="BF1" s="34"/>
      <c r="BG1" s="34"/>
      <c r="BH1" s="33"/>
      <c r="BI1" s="33"/>
      <c r="BJ1" s="33"/>
      <c r="BK1" s="33"/>
      <c r="BL1" s="33"/>
      <c r="BO1" s="19"/>
      <c r="BP1" s="33"/>
      <c r="BQ1" s="35"/>
      <c r="BW1" s="34"/>
      <c r="BX1" s="34"/>
      <c r="BY1" s="33"/>
      <c r="BZ1" s="33"/>
      <c r="CA1" s="33"/>
      <c r="CB1" s="33"/>
      <c r="CC1" s="33"/>
      <c r="CD1" s="33"/>
      <c r="CE1" s="31"/>
      <c r="CF1" s="31"/>
      <c r="CG1" s="34"/>
      <c r="CH1" s="31"/>
      <c r="CI1" s="31"/>
      <c r="CJ1" s="19"/>
    </row>
    <row r="2" spans="1:88" ht="12.75">
      <c r="A2" s="15"/>
      <c r="B2" s="16"/>
      <c r="C2" s="14"/>
      <c r="D2" s="14"/>
      <c r="E2" s="14"/>
      <c r="F2" s="25"/>
      <c r="G2" s="38"/>
      <c r="H2" s="3"/>
      <c r="I2" s="2"/>
      <c r="J2" s="16"/>
      <c r="K2" s="17"/>
      <c r="L2" s="16"/>
      <c r="M2" s="16"/>
      <c r="N2" s="2"/>
      <c r="O2" s="40"/>
      <c r="P2" s="40"/>
      <c r="Q2" s="40"/>
      <c r="R2" s="25"/>
      <c r="S2" s="25"/>
      <c r="T2" s="25"/>
      <c r="U2" s="34"/>
      <c r="V2" s="34"/>
      <c r="W2" s="34"/>
      <c r="X2" s="34"/>
      <c r="Y2" s="34"/>
      <c r="Z2" s="34"/>
      <c r="AA2" s="34"/>
      <c r="AB2" s="34"/>
      <c r="AC2" s="31"/>
      <c r="AD2" s="31"/>
      <c r="AE2" s="31"/>
      <c r="AF2" s="31"/>
      <c r="AG2" s="31"/>
      <c r="AH2" s="31"/>
      <c r="AI2" s="31"/>
      <c r="AJ2" s="7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3"/>
      <c r="BB2" s="34"/>
      <c r="BC2" s="34"/>
      <c r="BD2" s="34"/>
      <c r="BE2" s="34"/>
      <c r="BF2" s="34"/>
      <c r="BG2" s="34"/>
      <c r="BH2" s="33"/>
      <c r="BI2" s="33"/>
      <c r="BJ2" s="33"/>
      <c r="BK2" s="33"/>
      <c r="BL2" s="33"/>
      <c r="BO2" s="19"/>
      <c r="BP2" s="33"/>
      <c r="BQ2" s="35"/>
      <c r="BW2" s="34"/>
      <c r="BX2" s="34"/>
      <c r="BY2" s="33"/>
      <c r="BZ2" s="33"/>
      <c r="CA2" s="33"/>
      <c r="CB2" s="33"/>
      <c r="CC2" s="33"/>
      <c r="CD2" s="33"/>
      <c r="CE2" s="31"/>
      <c r="CF2" s="31"/>
      <c r="CG2" s="34"/>
      <c r="CH2" s="31"/>
      <c r="CI2" s="31"/>
      <c r="CJ2" s="19"/>
    </row>
    <row r="3" spans="1:91" ht="12.75">
      <c r="A3" s="15" t="s">
        <v>1707</v>
      </c>
      <c r="B3" s="15" t="s">
        <v>1159</v>
      </c>
      <c r="C3" s="15" t="s">
        <v>1507</v>
      </c>
      <c r="D3" s="15" t="s">
        <v>725</v>
      </c>
      <c r="E3" s="15" t="s">
        <v>891</v>
      </c>
      <c r="F3" s="26" t="s">
        <v>384</v>
      </c>
      <c r="G3" s="1" t="s">
        <v>1266</v>
      </c>
      <c r="H3" s="4" t="s">
        <v>1320</v>
      </c>
      <c r="I3" s="4" t="s">
        <v>712</v>
      </c>
      <c r="J3" s="15" t="s">
        <v>512</v>
      </c>
      <c r="K3" s="39" t="s">
        <v>1529</v>
      </c>
      <c r="L3" s="15" t="s">
        <v>1528</v>
      </c>
      <c r="M3" s="15" t="s">
        <v>668</v>
      </c>
      <c r="N3" s="4" t="s">
        <v>1369</v>
      </c>
      <c r="O3" s="41" t="s">
        <v>1236</v>
      </c>
      <c r="P3" s="41" t="s">
        <v>1236</v>
      </c>
      <c r="Q3" s="48" t="s">
        <v>1232</v>
      </c>
      <c r="R3" s="43" t="s">
        <v>1582</v>
      </c>
      <c r="S3" s="43" t="s">
        <v>1582</v>
      </c>
      <c r="T3" s="43" t="s">
        <v>1582</v>
      </c>
      <c r="U3" s="28" t="s">
        <v>1582</v>
      </c>
      <c r="V3" s="28" t="s">
        <v>1336</v>
      </c>
      <c r="W3" s="28" t="s">
        <v>1338</v>
      </c>
      <c r="X3" s="28" t="s">
        <v>1336</v>
      </c>
      <c r="Y3" s="8" t="s">
        <v>1336</v>
      </c>
      <c r="Z3" s="8" t="s">
        <v>1336</v>
      </c>
      <c r="AA3" s="8" t="s">
        <v>1336</v>
      </c>
      <c r="AB3" s="8" t="s">
        <v>1336</v>
      </c>
      <c r="AC3" s="8" t="s">
        <v>1582</v>
      </c>
      <c r="AD3" s="24" t="s">
        <v>1582</v>
      </c>
      <c r="AE3" s="8" t="s">
        <v>1582</v>
      </c>
      <c r="AF3" s="21" t="s">
        <v>1582</v>
      </c>
      <c r="AG3" s="21" t="s">
        <v>1336</v>
      </c>
      <c r="AH3" s="21" t="s">
        <v>1336</v>
      </c>
      <c r="AI3" s="21" t="s">
        <v>1336</v>
      </c>
      <c r="AJ3" s="11" t="s">
        <v>1336</v>
      </c>
      <c r="AK3" s="28" t="s">
        <v>1334</v>
      </c>
      <c r="AL3" s="28" t="s">
        <v>1491</v>
      </c>
      <c r="AM3" s="28" t="s">
        <v>1336</v>
      </c>
      <c r="AN3" s="28" t="s">
        <v>1336</v>
      </c>
      <c r="AO3" s="28" t="s">
        <v>1336</v>
      </c>
      <c r="AP3" s="28" t="s">
        <v>1336</v>
      </c>
      <c r="AQ3" s="28" t="s">
        <v>1336</v>
      </c>
      <c r="AR3" s="28" t="s">
        <v>1336</v>
      </c>
      <c r="AS3" s="28" t="s">
        <v>1336</v>
      </c>
      <c r="AT3" s="28" t="s">
        <v>1336</v>
      </c>
      <c r="AU3" s="28" t="s">
        <v>1442</v>
      </c>
      <c r="AV3" s="28" t="s">
        <v>1454</v>
      </c>
      <c r="AW3" s="28" t="s">
        <v>1043</v>
      </c>
      <c r="AX3" s="28" t="s">
        <v>654</v>
      </c>
      <c r="AY3" s="28" t="s">
        <v>1599</v>
      </c>
      <c r="AZ3" s="28" t="s">
        <v>1108</v>
      </c>
      <c r="BA3" s="27" t="s">
        <v>1019</v>
      </c>
      <c r="BB3" s="28" t="s">
        <v>1468</v>
      </c>
      <c r="BC3" s="28" t="s">
        <v>1149</v>
      </c>
      <c r="BD3" s="28" t="s">
        <v>1325</v>
      </c>
      <c r="BE3" s="28" t="s">
        <v>1532</v>
      </c>
      <c r="BF3" s="28" t="s">
        <v>1059</v>
      </c>
      <c r="BG3" s="28" t="s">
        <v>1257</v>
      </c>
      <c r="BH3" s="27" t="s">
        <v>663</v>
      </c>
      <c r="BI3" s="27" t="s">
        <v>1578</v>
      </c>
      <c r="BJ3" s="27" t="s">
        <v>1583</v>
      </c>
      <c r="BK3" s="27" t="s">
        <v>682</v>
      </c>
      <c r="BL3" s="27" t="s">
        <v>750</v>
      </c>
      <c r="BM3" s="8" t="s">
        <v>1472</v>
      </c>
      <c r="BN3" s="8" t="s">
        <v>1256</v>
      </c>
      <c r="BO3" s="8" t="s">
        <v>1576</v>
      </c>
      <c r="BP3" s="27" t="s">
        <v>1579</v>
      </c>
      <c r="BQ3" s="30" t="s">
        <v>750</v>
      </c>
      <c r="BR3" s="8" t="s">
        <v>886</v>
      </c>
      <c r="BS3" s="8" t="s">
        <v>1580</v>
      </c>
      <c r="BT3" s="8" t="s">
        <v>1590</v>
      </c>
      <c r="BU3" s="8" t="s">
        <v>1590</v>
      </c>
      <c r="BV3" s="8" t="s">
        <v>1589</v>
      </c>
      <c r="BW3" s="28" t="s">
        <v>1577</v>
      </c>
      <c r="BX3" s="28" t="s">
        <v>1337</v>
      </c>
      <c r="BY3" s="27" t="s">
        <v>966</v>
      </c>
      <c r="BZ3" s="27" t="s">
        <v>1233</v>
      </c>
      <c r="CA3" s="27" t="s">
        <v>1608</v>
      </c>
      <c r="CB3" s="27" t="s">
        <v>1584</v>
      </c>
      <c r="CC3" s="27" t="s">
        <v>795</v>
      </c>
      <c r="CD3" s="27" t="s">
        <v>795</v>
      </c>
      <c r="CE3" s="21" t="s">
        <v>1608</v>
      </c>
      <c r="CF3" s="21" t="s">
        <v>890</v>
      </c>
      <c r="CG3" s="28" t="s">
        <v>1596</v>
      </c>
      <c r="CH3" s="21" t="s">
        <v>691</v>
      </c>
      <c r="CI3" s="21" t="s">
        <v>703</v>
      </c>
      <c r="CJ3" s="8" t="s">
        <v>1707</v>
      </c>
      <c r="CK3" s="8" t="s">
        <v>655</v>
      </c>
      <c r="CL3" s="8" t="s">
        <v>1383</v>
      </c>
      <c r="CM3" s="8" t="s">
        <v>630</v>
      </c>
    </row>
    <row r="4" spans="1:91" ht="12.75">
      <c r="A4" s="15"/>
      <c r="B4" s="15" t="s">
        <v>1466</v>
      </c>
      <c r="C4" s="15" t="s">
        <v>405</v>
      </c>
      <c r="D4" s="15" t="s">
        <v>1231</v>
      </c>
      <c r="E4" s="15" t="s">
        <v>1266</v>
      </c>
      <c r="F4" s="26" t="s">
        <v>1236</v>
      </c>
      <c r="G4" s="1" t="s">
        <v>1236</v>
      </c>
      <c r="H4" s="4" t="s">
        <v>1115</v>
      </c>
      <c r="I4" s="4" t="s">
        <v>1248</v>
      </c>
      <c r="J4" s="15" t="s">
        <v>1489</v>
      </c>
      <c r="K4" s="39" t="s">
        <v>1553</v>
      </c>
      <c r="L4" s="15" t="s">
        <v>662</v>
      </c>
      <c r="M4" s="15" t="s">
        <v>662</v>
      </c>
      <c r="N4" s="4" t="s">
        <v>676</v>
      </c>
      <c r="O4" s="41" t="s">
        <v>1242</v>
      </c>
      <c r="P4" s="41" t="s">
        <v>1243</v>
      </c>
      <c r="Q4" s="48" t="s">
        <v>1576</v>
      </c>
      <c r="R4" s="43" t="s">
        <v>1106</v>
      </c>
      <c r="S4" s="43" t="s">
        <v>1106</v>
      </c>
      <c r="T4" s="43" t="s">
        <v>1106</v>
      </c>
      <c r="U4" s="28" t="s">
        <v>1105</v>
      </c>
      <c r="V4" s="28" t="s">
        <v>1105</v>
      </c>
      <c r="W4" s="28" t="s">
        <v>1475</v>
      </c>
      <c r="X4" s="28" t="s">
        <v>1327</v>
      </c>
      <c r="Y4" s="8" t="s">
        <v>1105</v>
      </c>
      <c r="Z4" s="8" t="s">
        <v>1105</v>
      </c>
      <c r="AA4" s="8" t="s">
        <v>1105</v>
      </c>
      <c r="AB4" s="8" t="s">
        <v>1105</v>
      </c>
      <c r="AC4" s="8" t="s">
        <v>1326</v>
      </c>
      <c r="AD4" s="8" t="s">
        <v>1326</v>
      </c>
      <c r="AE4" s="8" t="s">
        <v>1326</v>
      </c>
      <c r="AF4" s="8" t="s">
        <v>1326</v>
      </c>
      <c r="AG4" s="8" t="s">
        <v>1326</v>
      </c>
      <c r="AH4" s="8" t="s">
        <v>1326</v>
      </c>
      <c r="AI4" s="8" t="s">
        <v>1326</v>
      </c>
      <c r="AJ4" s="11" t="s">
        <v>1326</v>
      </c>
      <c r="AK4" s="28" t="s">
        <v>1291</v>
      </c>
      <c r="AL4" s="28" t="s">
        <v>1335</v>
      </c>
      <c r="AM4" s="28" t="s">
        <v>23</v>
      </c>
      <c r="AN4" s="28" t="s">
        <v>23</v>
      </c>
      <c r="AO4" s="28" t="s">
        <v>23</v>
      </c>
      <c r="AP4" s="28" t="s">
        <v>23</v>
      </c>
      <c r="AQ4" s="28" t="s">
        <v>24</v>
      </c>
      <c r="AR4" s="28" t="s">
        <v>24</v>
      </c>
      <c r="AS4" s="28" t="s">
        <v>24</v>
      </c>
      <c r="AT4" s="28" t="s">
        <v>24</v>
      </c>
      <c r="AU4" s="1"/>
      <c r="AV4" s="28" t="s">
        <v>463</v>
      </c>
      <c r="AW4" s="28" t="s">
        <v>641</v>
      </c>
      <c r="AX4" s="28"/>
      <c r="AY4" s="28" t="s">
        <v>654</v>
      </c>
      <c r="AZ4" s="28" t="s">
        <v>654</v>
      </c>
      <c r="BA4" s="27"/>
      <c r="BB4" s="28"/>
      <c r="BC4" s="28" t="s">
        <v>1461</v>
      </c>
      <c r="BD4" s="28" t="s">
        <v>1444</v>
      </c>
      <c r="BE4" s="28"/>
      <c r="BF4" s="28"/>
      <c r="BG4" s="28"/>
      <c r="BH4" s="27" t="s">
        <v>1257</v>
      </c>
      <c r="BI4" s="27" t="s">
        <v>1332</v>
      </c>
      <c r="BJ4" s="27" t="s">
        <v>1247</v>
      </c>
      <c r="BK4" s="27" t="s">
        <v>1263</v>
      </c>
      <c r="BL4" s="27" t="s">
        <v>1263</v>
      </c>
      <c r="BM4" s="8" t="s">
        <v>1263</v>
      </c>
      <c r="BN4" s="8" t="s">
        <v>1263</v>
      </c>
      <c r="BO4" s="8" t="s">
        <v>751</v>
      </c>
      <c r="BP4" s="27" t="s">
        <v>1241</v>
      </c>
      <c r="BQ4" s="30" t="s">
        <v>408</v>
      </c>
      <c r="BR4" s="8" t="s">
        <v>408</v>
      </c>
      <c r="BS4" s="8" t="s">
        <v>392</v>
      </c>
      <c r="BT4" s="8" t="s">
        <v>393</v>
      </c>
      <c r="BU4" s="8" t="s">
        <v>393</v>
      </c>
      <c r="BV4" s="8" t="s">
        <v>393</v>
      </c>
      <c r="BW4" s="28" t="s">
        <v>1053</v>
      </c>
      <c r="BX4" s="28" t="s">
        <v>1312</v>
      </c>
      <c r="BY4" s="27" t="s">
        <v>1196</v>
      </c>
      <c r="BZ4" s="27" t="s">
        <v>966</v>
      </c>
      <c r="CA4" s="27" t="s">
        <v>1244</v>
      </c>
      <c r="CB4" s="27" t="s">
        <v>1245</v>
      </c>
      <c r="CC4" s="28" t="s">
        <v>23</v>
      </c>
      <c r="CD4" s="27" t="s">
        <v>24</v>
      </c>
      <c r="CE4" s="21" t="s">
        <v>675</v>
      </c>
      <c r="CF4" s="8" t="s">
        <v>9</v>
      </c>
      <c r="CG4" s="28" t="s">
        <v>1240</v>
      </c>
      <c r="CH4" s="21" t="s">
        <v>1051</v>
      </c>
      <c r="CI4" s="21" t="s">
        <v>1562</v>
      </c>
      <c r="CJ4" s="8"/>
      <c r="CK4" s="8"/>
      <c r="CL4" s="8" t="s">
        <v>1235</v>
      </c>
      <c r="CM4" s="1" t="s">
        <v>394</v>
      </c>
    </row>
    <row r="5" spans="1:91" ht="12.75">
      <c r="A5" s="16"/>
      <c r="B5" s="16"/>
      <c r="C5" s="16"/>
      <c r="D5" s="16"/>
      <c r="E5" s="15"/>
      <c r="F5" s="25"/>
      <c r="G5" s="38"/>
      <c r="H5" s="3"/>
      <c r="I5" s="3"/>
      <c r="J5" s="16"/>
      <c r="K5" s="38"/>
      <c r="L5" s="15"/>
      <c r="M5" s="15"/>
      <c r="N5" s="4"/>
      <c r="O5" s="41"/>
      <c r="P5" s="41"/>
      <c r="Q5" s="41"/>
      <c r="R5" s="43" t="s">
        <v>1331</v>
      </c>
      <c r="S5" s="45" t="s">
        <v>1474</v>
      </c>
      <c r="T5" s="45" t="s">
        <v>1282</v>
      </c>
      <c r="U5" s="36" t="s">
        <v>13</v>
      </c>
      <c r="V5" s="36" t="s">
        <v>705</v>
      </c>
      <c r="W5" s="36" t="s">
        <v>705</v>
      </c>
      <c r="X5" s="36" t="s">
        <v>705</v>
      </c>
      <c r="Y5" s="1" t="s">
        <v>1331</v>
      </c>
      <c r="Z5" s="1" t="s">
        <v>1474</v>
      </c>
      <c r="AA5" s="1" t="s">
        <v>1282</v>
      </c>
      <c r="AB5" s="1" t="s">
        <v>13</v>
      </c>
      <c r="AC5" s="8" t="s">
        <v>1331</v>
      </c>
      <c r="AD5" s="1" t="s">
        <v>1474</v>
      </c>
      <c r="AE5" s="1" t="s">
        <v>1282</v>
      </c>
      <c r="AF5" s="1" t="s">
        <v>13</v>
      </c>
      <c r="AG5" s="8" t="s">
        <v>1331</v>
      </c>
      <c r="AH5" s="1" t="s">
        <v>1474</v>
      </c>
      <c r="AI5" s="1" t="s">
        <v>1282</v>
      </c>
      <c r="AJ5" s="12" t="s">
        <v>13</v>
      </c>
      <c r="AK5" s="28" t="s">
        <v>1052</v>
      </c>
      <c r="AL5" s="28" t="s">
        <v>92</v>
      </c>
      <c r="AM5" s="28" t="s">
        <v>1331</v>
      </c>
      <c r="AN5" s="28" t="s">
        <v>1474</v>
      </c>
      <c r="AO5" s="28" t="s">
        <v>1282</v>
      </c>
      <c r="AP5" s="28" t="s">
        <v>13</v>
      </c>
      <c r="AQ5" s="28" t="s">
        <v>1331</v>
      </c>
      <c r="AR5" s="28" t="s">
        <v>1474</v>
      </c>
      <c r="AS5" s="28" t="s">
        <v>1282</v>
      </c>
      <c r="AT5" s="28" t="s">
        <v>13</v>
      </c>
      <c r="AU5" s="28" t="s">
        <v>92</v>
      </c>
      <c r="AV5" s="28" t="s">
        <v>92</v>
      </c>
      <c r="AW5" s="28" t="s">
        <v>93</v>
      </c>
      <c r="AX5" s="28" t="s">
        <v>92</v>
      </c>
      <c r="AY5" s="28" t="s">
        <v>92</v>
      </c>
      <c r="AZ5" s="28" t="s">
        <v>92</v>
      </c>
      <c r="BA5" s="28" t="s">
        <v>92</v>
      </c>
      <c r="BB5" s="28" t="s">
        <v>92</v>
      </c>
      <c r="BC5" s="28" t="s">
        <v>92</v>
      </c>
      <c r="BD5" s="28" t="s">
        <v>92</v>
      </c>
      <c r="BE5" s="28" t="s">
        <v>92</v>
      </c>
      <c r="BF5" s="28" t="s">
        <v>92</v>
      </c>
      <c r="BG5" s="28" t="s">
        <v>92</v>
      </c>
      <c r="BH5" s="27"/>
      <c r="BI5" s="27" t="s">
        <v>1246</v>
      </c>
      <c r="BJ5" s="27" t="s">
        <v>20</v>
      </c>
      <c r="BK5" s="27" t="s">
        <v>20</v>
      </c>
      <c r="BL5" s="27" t="s">
        <v>20</v>
      </c>
      <c r="BM5" s="8" t="s">
        <v>20</v>
      </c>
      <c r="BN5" s="8" t="s">
        <v>20</v>
      </c>
      <c r="BO5" s="8" t="s">
        <v>886</v>
      </c>
      <c r="BP5" s="8" t="s">
        <v>0</v>
      </c>
      <c r="BQ5" s="30" t="s">
        <v>1576</v>
      </c>
      <c r="BR5" s="8" t="s">
        <v>1576</v>
      </c>
      <c r="BS5" s="8" t="s">
        <v>409</v>
      </c>
      <c r="BT5" s="8" t="s">
        <v>1054</v>
      </c>
      <c r="BU5" s="8" t="s">
        <v>21</v>
      </c>
      <c r="BV5" s="8" t="s">
        <v>410</v>
      </c>
      <c r="BW5" s="28" t="s">
        <v>1268</v>
      </c>
      <c r="BX5" s="28" t="s">
        <v>25</v>
      </c>
      <c r="BY5" s="27"/>
      <c r="BZ5" s="27"/>
      <c r="CA5" s="27" t="s">
        <v>1052</v>
      </c>
      <c r="CB5" s="27" t="s">
        <v>22</v>
      </c>
      <c r="CC5" s="27" t="s">
        <v>91</v>
      </c>
      <c r="CD5" s="27" t="s">
        <v>91</v>
      </c>
      <c r="CE5" s="21" t="s">
        <v>465</v>
      </c>
      <c r="CF5" s="21" t="s">
        <v>1110</v>
      </c>
      <c r="CG5" s="28" t="s">
        <v>1290</v>
      </c>
      <c r="CH5" s="21" t="s">
        <v>1116</v>
      </c>
      <c r="CI5" s="21" t="s">
        <v>1252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7"/>
      <c r="O6" s="42"/>
      <c r="P6" s="42"/>
      <c r="Q6" s="42"/>
      <c r="R6" s="43"/>
      <c r="S6" s="45"/>
      <c r="T6" s="45"/>
      <c r="U6" s="36"/>
      <c r="V6" s="36"/>
      <c r="W6" s="36"/>
      <c r="X6" s="3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8" t="s">
        <v>1055</v>
      </c>
      <c r="AL6" s="28" t="s">
        <v>8</v>
      </c>
      <c r="AM6" s="28"/>
      <c r="AN6" s="28"/>
      <c r="AO6" s="28"/>
      <c r="AP6" s="28"/>
      <c r="AQ6" s="28"/>
      <c r="AR6" s="28"/>
      <c r="AS6" s="28"/>
      <c r="AT6" s="28"/>
      <c r="AU6" s="28" t="s">
        <v>705</v>
      </c>
      <c r="AV6" s="28" t="s">
        <v>705</v>
      </c>
      <c r="AW6" s="28" t="s">
        <v>705</v>
      </c>
      <c r="AX6" s="28" t="s">
        <v>705</v>
      </c>
      <c r="AY6" s="28" t="s">
        <v>705</v>
      </c>
      <c r="AZ6" s="28" t="s">
        <v>705</v>
      </c>
      <c r="BA6" s="28" t="s">
        <v>705</v>
      </c>
      <c r="BB6" s="28" t="s">
        <v>705</v>
      </c>
      <c r="BC6" s="28" t="s">
        <v>705</v>
      </c>
      <c r="BD6" s="28" t="s">
        <v>705</v>
      </c>
      <c r="BE6" s="28" t="s">
        <v>705</v>
      </c>
      <c r="BF6" s="28" t="s">
        <v>705</v>
      </c>
      <c r="BG6" s="28" t="s">
        <v>705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8"/>
      <c r="BX6" s="1"/>
      <c r="BY6" s="27"/>
      <c r="BZ6" s="27"/>
      <c r="CA6" s="27"/>
      <c r="CB6" s="27"/>
      <c r="CC6" s="27"/>
      <c r="CD6" s="27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6">
        <v>6</v>
      </c>
      <c r="G7" s="26">
        <v>7</v>
      </c>
      <c r="H7" s="26">
        <v>8</v>
      </c>
      <c r="I7" s="18">
        <v>9</v>
      </c>
      <c r="J7" s="26">
        <v>10</v>
      </c>
      <c r="K7" s="18">
        <v>11</v>
      </c>
      <c r="L7" s="26">
        <v>12</v>
      </c>
      <c r="M7" s="18">
        <v>13</v>
      </c>
      <c r="N7" s="46">
        <v>14</v>
      </c>
      <c r="O7" s="18">
        <v>15</v>
      </c>
      <c r="P7" s="26">
        <v>16</v>
      </c>
      <c r="Q7" s="26">
        <v>17</v>
      </c>
      <c r="R7" s="26">
        <v>18</v>
      </c>
      <c r="S7" s="18">
        <v>19</v>
      </c>
      <c r="T7" s="26">
        <v>20</v>
      </c>
      <c r="U7" s="18">
        <v>21</v>
      </c>
      <c r="V7" s="26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6">
        <v>28</v>
      </c>
      <c r="AD7" s="18">
        <v>29</v>
      </c>
      <c r="AE7" s="26">
        <v>30</v>
      </c>
      <c r="AF7" s="18">
        <v>31</v>
      </c>
      <c r="AG7" s="26">
        <v>32</v>
      </c>
      <c r="AH7" s="18">
        <v>33</v>
      </c>
      <c r="AI7" s="26">
        <v>34</v>
      </c>
      <c r="AJ7" s="18">
        <v>35</v>
      </c>
      <c r="AK7" s="26">
        <v>36</v>
      </c>
      <c r="AL7" s="18">
        <v>37</v>
      </c>
      <c r="AM7" s="26">
        <v>38</v>
      </c>
      <c r="AN7" s="18">
        <v>39</v>
      </c>
      <c r="AO7" s="18">
        <v>40</v>
      </c>
      <c r="AP7" s="26">
        <v>41</v>
      </c>
      <c r="AQ7" s="18">
        <v>42</v>
      </c>
      <c r="AR7" s="18">
        <v>43</v>
      </c>
      <c r="AS7" s="18">
        <v>44</v>
      </c>
      <c r="AT7" s="26">
        <v>45</v>
      </c>
      <c r="AU7" s="18">
        <v>46</v>
      </c>
      <c r="AV7" s="26">
        <v>47</v>
      </c>
      <c r="AW7" s="18">
        <v>48</v>
      </c>
      <c r="AX7" s="26">
        <v>49</v>
      </c>
      <c r="AY7" s="18">
        <v>50</v>
      </c>
      <c r="AZ7" s="26">
        <v>51</v>
      </c>
      <c r="BA7" s="18">
        <v>52</v>
      </c>
      <c r="BB7" s="26">
        <v>53</v>
      </c>
      <c r="BC7" s="18">
        <v>54</v>
      </c>
      <c r="BD7" s="26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6">
        <v>63</v>
      </c>
      <c r="BM7" s="26">
        <v>64</v>
      </c>
      <c r="BN7" s="26">
        <v>65</v>
      </c>
      <c r="BO7" s="26">
        <v>66</v>
      </c>
      <c r="BP7" s="26">
        <v>67</v>
      </c>
      <c r="BQ7" s="26">
        <v>68</v>
      </c>
      <c r="BR7" s="26">
        <v>69</v>
      </c>
      <c r="BS7" s="26">
        <v>70</v>
      </c>
      <c r="BT7" s="26">
        <v>71</v>
      </c>
      <c r="BU7" s="26">
        <v>72</v>
      </c>
      <c r="BV7" s="26">
        <v>73</v>
      </c>
      <c r="BW7" s="26">
        <v>74</v>
      </c>
      <c r="BX7" s="26">
        <v>75</v>
      </c>
      <c r="BY7" s="26">
        <v>76</v>
      </c>
      <c r="BZ7" s="26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6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1453</v>
      </c>
      <c r="B9" s="14" t="s">
        <v>1117</v>
      </c>
      <c r="C9" s="14" t="s">
        <v>644</v>
      </c>
      <c r="D9" s="14" t="s">
        <v>14</v>
      </c>
      <c r="E9" s="14" t="s">
        <v>10</v>
      </c>
      <c r="F9" s="2" t="s">
        <v>95</v>
      </c>
      <c r="G9" s="2">
        <v>1</v>
      </c>
      <c r="H9" s="2" t="s">
        <v>537</v>
      </c>
      <c r="I9" s="2" t="s">
        <v>839</v>
      </c>
      <c r="J9" s="14" t="s">
        <v>415</v>
      </c>
      <c r="K9" s="2" t="s">
        <v>568</v>
      </c>
      <c r="L9" s="14" t="s">
        <v>509</v>
      </c>
      <c r="M9" s="14" t="s">
        <v>897</v>
      </c>
      <c r="N9" s="2" t="s">
        <v>1660</v>
      </c>
      <c r="O9" s="5">
        <v>9</v>
      </c>
      <c r="P9" s="10"/>
      <c r="Q9" s="10"/>
      <c r="R9" s="9"/>
      <c r="S9" s="9"/>
      <c r="T9" s="9"/>
      <c r="U9" s="44">
        <v>634.5</v>
      </c>
      <c r="V9" s="44">
        <v>70.5</v>
      </c>
      <c r="W9" s="22"/>
      <c r="X9" s="6">
        <v>5.875</v>
      </c>
      <c r="AF9" s="22">
        <v>52.875</v>
      </c>
      <c r="AG9">
        <v>5</v>
      </c>
      <c r="AH9">
        <v>17</v>
      </c>
      <c r="AI9">
        <v>6</v>
      </c>
      <c r="AJ9" s="22">
        <v>5.875</v>
      </c>
      <c r="AK9" s="22"/>
      <c r="AU9" s="22"/>
      <c r="AX9" s="22"/>
      <c r="BD9" s="22"/>
      <c r="BG9" s="6"/>
      <c r="BP9" s="44"/>
      <c r="BQ9" s="35"/>
      <c r="BR9" s="35"/>
      <c r="BS9" s="20"/>
      <c r="BT9" s="33"/>
      <c r="BU9" s="33"/>
      <c r="BV9" s="35"/>
      <c r="BW9" s="44">
        <v>634.5</v>
      </c>
      <c r="BX9" s="44">
        <v>70.5</v>
      </c>
      <c r="CJ9">
        <v>1453</v>
      </c>
      <c r="CK9" s="2" t="s">
        <v>568</v>
      </c>
    </row>
    <row r="10" spans="1:89" ht="12.75">
      <c r="A10" s="15">
        <v>1453</v>
      </c>
      <c r="B10" s="14" t="s">
        <v>1117</v>
      </c>
      <c r="C10" s="14" t="s">
        <v>644</v>
      </c>
      <c r="D10" s="14" t="s">
        <v>14</v>
      </c>
      <c r="E10" s="14" t="s">
        <v>10</v>
      </c>
      <c r="F10" s="2" t="s">
        <v>96</v>
      </c>
      <c r="G10" s="2">
        <v>1</v>
      </c>
      <c r="H10" s="2" t="s">
        <v>537</v>
      </c>
      <c r="I10" s="2" t="s">
        <v>838</v>
      </c>
      <c r="J10" s="14" t="s">
        <v>415</v>
      </c>
      <c r="K10" s="2" t="s">
        <v>565</v>
      </c>
      <c r="L10" s="14" t="s">
        <v>509</v>
      </c>
      <c r="M10" s="14" t="s">
        <v>897</v>
      </c>
      <c r="N10" s="2" t="s">
        <v>1660</v>
      </c>
      <c r="O10" s="10">
        <v>5</v>
      </c>
      <c r="P10" s="10"/>
      <c r="Q10" s="10"/>
      <c r="R10" s="9"/>
      <c r="S10" s="9"/>
      <c r="T10" s="9"/>
      <c r="U10" s="44">
        <v>403.49999999999994</v>
      </c>
      <c r="V10" s="44">
        <v>80.69999999999999</v>
      </c>
      <c r="W10" s="22"/>
      <c r="X10" s="22">
        <v>6.725</v>
      </c>
      <c r="AB10" s="44"/>
      <c r="AF10" s="22">
        <v>33.625</v>
      </c>
      <c r="AG10">
        <v>6</v>
      </c>
      <c r="AH10">
        <v>14</v>
      </c>
      <c r="AI10">
        <v>6</v>
      </c>
      <c r="AJ10" s="22">
        <v>6.725</v>
      </c>
      <c r="BG10" s="7"/>
      <c r="BP10" s="33"/>
      <c r="BS10" s="20"/>
      <c r="BW10" s="44">
        <v>403.49999999999994</v>
      </c>
      <c r="BX10" s="44">
        <v>80.69999999999999</v>
      </c>
      <c r="CJ10">
        <v>1453</v>
      </c>
      <c r="CK10" s="2" t="s">
        <v>565</v>
      </c>
    </row>
    <row r="12" spans="1:90" ht="12.75">
      <c r="A12" s="15">
        <v>1453</v>
      </c>
      <c r="B12" s="14" t="s">
        <v>1117</v>
      </c>
      <c r="C12" s="14" t="s">
        <v>644</v>
      </c>
      <c r="D12" s="14" t="s">
        <v>14</v>
      </c>
      <c r="E12" s="14" t="s">
        <v>10</v>
      </c>
      <c r="F12" s="2" t="s">
        <v>105</v>
      </c>
      <c r="G12" s="2">
        <v>2</v>
      </c>
      <c r="H12" s="2" t="s">
        <v>537</v>
      </c>
      <c r="I12" s="2" t="s">
        <v>606</v>
      </c>
      <c r="J12" s="14" t="s">
        <v>415</v>
      </c>
      <c r="K12" s="2" t="s">
        <v>779</v>
      </c>
      <c r="L12" s="14" t="s">
        <v>509</v>
      </c>
      <c r="M12" s="14" t="s">
        <v>906</v>
      </c>
      <c r="N12" s="2" t="s">
        <v>5</v>
      </c>
      <c r="O12" s="10"/>
      <c r="P12" s="10"/>
      <c r="Q12" s="10"/>
      <c r="R12" s="9"/>
      <c r="S12" s="9"/>
      <c r="T12" s="9"/>
      <c r="U12" s="44"/>
      <c r="V12" s="44"/>
      <c r="W12" s="22">
        <v>52</v>
      </c>
      <c r="X12" s="22"/>
      <c r="AF12" s="22"/>
      <c r="AJ12" s="22"/>
      <c r="AK12" s="22">
        <v>4.333333333333333</v>
      </c>
      <c r="BP12" s="33"/>
      <c r="BS12" s="20"/>
      <c r="CJ12">
        <v>1453</v>
      </c>
      <c r="CK12" s="2" t="s">
        <v>779</v>
      </c>
      <c r="CL12" t="s">
        <v>1186</v>
      </c>
    </row>
    <row r="13" spans="1:89" ht="12.75">
      <c r="A13" s="15">
        <v>1453</v>
      </c>
      <c r="B13" s="14" t="s">
        <v>1117</v>
      </c>
      <c r="C13" s="14" t="s">
        <v>644</v>
      </c>
      <c r="D13" s="14" t="s">
        <v>14</v>
      </c>
      <c r="E13" s="14" t="s">
        <v>10</v>
      </c>
      <c r="F13" s="2" t="s">
        <v>106</v>
      </c>
      <c r="G13" s="2">
        <v>2</v>
      </c>
      <c r="H13" s="2" t="s">
        <v>537</v>
      </c>
      <c r="I13" s="2" t="s">
        <v>607</v>
      </c>
      <c r="J13" s="14" t="s">
        <v>415</v>
      </c>
      <c r="K13" s="2" t="s">
        <v>540</v>
      </c>
      <c r="L13" s="14" t="s">
        <v>509</v>
      </c>
      <c r="M13" s="14" t="s">
        <v>5</v>
      </c>
      <c r="N13" s="2" t="s">
        <v>1461</v>
      </c>
      <c r="O13" s="10">
        <v>30</v>
      </c>
      <c r="P13" s="10"/>
      <c r="Q13" s="10"/>
      <c r="R13" s="9"/>
      <c r="S13" s="9"/>
      <c r="T13" s="9"/>
      <c r="U13" s="44">
        <v>1080</v>
      </c>
      <c r="V13" s="44">
        <v>36</v>
      </c>
      <c r="X13" s="22">
        <v>3</v>
      </c>
      <c r="AB13" s="44"/>
      <c r="AF13" s="22">
        <v>90</v>
      </c>
      <c r="AG13">
        <v>3</v>
      </c>
      <c r="AH13">
        <v>0</v>
      </c>
      <c r="AI13">
        <v>0</v>
      </c>
      <c r="AJ13" s="22">
        <v>3</v>
      </c>
      <c r="AK13" s="22"/>
      <c r="AY13" s="7"/>
      <c r="BC13" s="22">
        <v>3</v>
      </c>
      <c r="BP13" s="33"/>
      <c r="BS13" s="20"/>
      <c r="BW13" s="44">
        <v>1080</v>
      </c>
      <c r="BX13" s="44">
        <v>36</v>
      </c>
      <c r="CJ13">
        <v>1453</v>
      </c>
      <c r="CK13" s="2" t="s">
        <v>540</v>
      </c>
    </row>
    <row r="15" spans="1:90" ht="12.75">
      <c r="A15" s="18">
        <v>1453</v>
      </c>
      <c r="B15" s="14" t="s">
        <v>1239</v>
      </c>
      <c r="C15" s="14" t="s">
        <v>644</v>
      </c>
      <c r="D15" s="14" t="s">
        <v>221</v>
      </c>
      <c r="E15" s="14" t="s">
        <v>11</v>
      </c>
      <c r="F15" s="32" t="s">
        <v>109</v>
      </c>
      <c r="G15" s="2"/>
      <c r="H15" s="2" t="s">
        <v>537</v>
      </c>
      <c r="I15" s="2" t="s">
        <v>825</v>
      </c>
      <c r="J15" s="14" t="s">
        <v>415</v>
      </c>
      <c r="K15" s="2" t="s">
        <v>588</v>
      </c>
      <c r="L15" s="14" t="s">
        <v>509</v>
      </c>
      <c r="M15" s="14" t="s">
        <v>908</v>
      </c>
      <c r="N15" s="2" t="s">
        <v>1660</v>
      </c>
      <c r="O15" s="10">
        <v>5</v>
      </c>
      <c r="P15" s="10"/>
      <c r="Q15" s="10"/>
      <c r="R15" s="9"/>
      <c r="S15" s="9"/>
      <c r="T15" s="9"/>
      <c r="U15" s="44">
        <v>403.49999999999994</v>
      </c>
      <c r="V15" s="44">
        <v>80.69999999999999</v>
      </c>
      <c r="W15" s="22"/>
      <c r="X15" s="22">
        <v>6.725</v>
      </c>
      <c r="AB15" s="44"/>
      <c r="AF15" s="22">
        <v>33.625</v>
      </c>
      <c r="AG15">
        <v>6</v>
      </c>
      <c r="AH15">
        <v>14</v>
      </c>
      <c r="AI15">
        <v>6</v>
      </c>
      <c r="AJ15" s="22">
        <v>6.725</v>
      </c>
      <c r="AK15" s="22"/>
      <c r="BG15" s="7"/>
      <c r="BP15" s="33"/>
      <c r="BS15" s="20"/>
      <c r="BW15" s="44">
        <v>403.49999999999994</v>
      </c>
      <c r="BX15" s="44">
        <v>80.69999999999999</v>
      </c>
      <c r="CJ15">
        <v>1453</v>
      </c>
      <c r="CK15" s="2" t="s">
        <v>588</v>
      </c>
      <c r="CL15" t="s">
        <v>69</v>
      </c>
    </row>
    <row r="17" spans="1:89" ht="12.75">
      <c r="A17" s="18">
        <v>1454</v>
      </c>
      <c r="B17" s="14" t="s">
        <v>1117</v>
      </c>
      <c r="C17" s="14" t="s">
        <v>644</v>
      </c>
      <c r="D17" s="14" t="s">
        <v>221</v>
      </c>
      <c r="E17" s="14" t="s">
        <v>39</v>
      </c>
      <c r="F17" s="32" t="s">
        <v>118</v>
      </c>
      <c r="G17" s="2">
        <v>1</v>
      </c>
      <c r="H17" s="2" t="s">
        <v>537</v>
      </c>
      <c r="I17" s="2" t="s">
        <v>1497</v>
      </c>
      <c r="J17" s="14" t="s">
        <v>1414</v>
      </c>
      <c r="K17" s="2" t="s">
        <v>592</v>
      </c>
      <c r="L17" s="14" t="s">
        <v>509</v>
      </c>
      <c r="M17" s="14" t="s">
        <v>5</v>
      </c>
      <c r="N17" s="2" t="s">
        <v>1449</v>
      </c>
      <c r="O17" s="10">
        <v>4</v>
      </c>
      <c r="P17" s="10"/>
      <c r="Q17" s="10"/>
      <c r="R17" s="9"/>
      <c r="S17" s="9"/>
      <c r="T17" s="9"/>
      <c r="U17" s="44">
        <v>124.80000000000001</v>
      </c>
      <c r="V17" s="44">
        <v>31.200000000000003</v>
      </c>
      <c r="W17" s="22"/>
      <c r="X17" s="22">
        <v>2.6</v>
      </c>
      <c r="AB17" s="44"/>
      <c r="AF17" s="22">
        <v>10.4</v>
      </c>
      <c r="AG17">
        <v>2</v>
      </c>
      <c r="AH17">
        <v>12</v>
      </c>
      <c r="AI17">
        <v>0</v>
      </c>
      <c r="AJ17" s="22">
        <v>2.6</v>
      </c>
      <c r="AK17" s="22"/>
      <c r="AL17" s="22">
        <v>2.6</v>
      </c>
      <c r="BP17" s="33"/>
      <c r="BS17" s="20"/>
      <c r="BW17" s="44">
        <v>124.80000000000001</v>
      </c>
      <c r="BX17" s="44">
        <v>31.200000000000003</v>
      </c>
      <c r="CJ17">
        <v>1454</v>
      </c>
      <c r="CK17" s="2" t="s">
        <v>592</v>
      </c>
    </row>
    <row r="19" spans="1:89" ht="12.75">
      <c r="A19" s="18">
        <v>1454</v>
      </c>
      <c r="B19" s="14" t="s">
        <v>1239</v>
      </c>
      <c r="C19" s="14" t="s">
        <v>644</v>
      </c>
      <c r="D19" s="14" t="s">
        <v>222</v>
      </c>
      <c r="E19" s="14" t="s">
        <v>40</v>
      </c>
      <c r="F19" s="32" t="s">
        <v>120</v>
      </c>
      <c r="G19" s="2"/>
      <c r="H19" s="2" t="s">
        <v>537</v>
      </c>
      <c r="I19" s="2" t="s">
        <v>850</v>
      </c>
      <c r="J19" s="14" t="s">
        <v>415</v>
      </c>
      <c r="K19" s="2" t="s">
        <v>568</v>
      </c>
      <c r="L19" s="14" t="s">
        <v>509</v>
      </c>
      <c r="M19" s="14" t="s">
        <v>906</v>
      </c>
      <c r="N19" s="2" t="s">
        <v>1660</v>
      </c>
      <c r="O19" s="10">
        <v>6</v>
      </c>
      <c r="P19" s="10"/>
      <c r="Q19" s="10"/>
      <c r="R19" s="9"/>
      <c r="S19" s="9"/>
      <c r="T19" s="9"/>
      <c r="U19" s="44">
        <v>514.8000000000001</v>
      </c>
      <c r="V19" s="44">
        <v>85.80000000000001</v>
      </c>
      <c r="W19" s="22"/>
      <c r="X19" s="22">
        <v>7.15</v>
      </c>
      <c r="AB19" s="44"/>
      <c r="AF19" s="22">
        <v>42.900000000000006</v>
      </c>
      <c r="AG19">
        <v>7</v>
      </c>
      <c r="AH19">
        <v>3</v>
      </c>
      <c r="AI19">
        <v>0</v>
      </c>
      <c r="AJ19" s="22">
        <v>7.15</v>
      </c>
      <c r="AK19" s="22"/>
      <c r="AY19" s="7"/>
      <c r="BP19" s="33"/>
      <c r="BS19" s="20"/>
      <c r="BW19" s="44">
        <v>514.8000000000001</v>
      </c>
      <c r="BX19" s="44">
        <v>85.80000000000001</v>
      </c>
      <c r="CJ19">
        <v>1454</v>
      </c>
      <c r="CK19" s="2" t="s">
        <v>568</v>
      </c>
    </row>
    <row r="21" spans="1:89" ht="12.75">
      <c r="A21" s="18">
        <v>1455</v>
      </c>
      <c r="B21" s="14" t="s">
        <v>1117</v>
      </c>
      <c r="C21" s="14" t="s">
        <v>644</v>
      </c>
      <c r="D21" s="14" t="s">
        <v>222</v>
      </c>
      <c r="E21" s="14" t="s">
        <v>42</v>
      </c>
      <c r="F21" s="32" t="s">
        <v>122</v>
      </c>
      <c r="G21" s="2"/>
      <c r="H21" s="2" t="s">
        <v>603</v>
      </c>
      <c r="I21" s="2" t="s">
        <v>1006</v>
      </c>
      <c r="J21" s="14" t="s">
        <v>415</v>
      </c>
      <c r="K21" s="2" t="s">
        <v>539</v>
      </c>
      <c r="L21" s="14" t="s">
        <v>509</v>
      </c>
      <c r="M21" s="14" t="s">
        <v>897</v>
      </c>
      <c r="N21" s="2" t="s">
        <v>1286</v>
      </c>
      <c r="O21" s="10">
        <v>7</v>
      </c>
      <c r="P21" s="10"/>
      <c r="Q21" s="10"/>
      <c r="R21" s="9"/>
      <c r="S21" s="9"/>
      <c r="T21" s="9"/>
      <c r="U21" s="44">
        <v>616</v>
      </c>
      <c r="V21" s="44">
        <v>88</v>
      </c>
      <c r="W21" s="22"/>
      <c r="X21" s="22">
        <v>7.333333333333333</v>
      </c>
      <c r="AB21" s="44"/>
      <c r="AF21" s="22">
        <v>51.33333333333333</v>
      </c>
      <c r="AG21">
        <v>7</v>
      </c>
      <c r="AH21">
        <v>6</v>
      </c>
      <c r="AI21">
        <v>8</v>
      </c>
      <c r="AJ21" s="22">
        <v>7.333333333333333</v>
      </c>
      <c r="AK21" s="22"/>
      <c r="AX21" s="22">
        <v>7.333333333333333</v>
      </c>
      <c r="BB21" s="7"/>
      <c r="BG21" s="22">
        <v>7.333333333333333</v>
      </c>
      <c r="BP21" s="33"/>
      <c r="BS21" s="20"/>
      <c r="BW21" s="44">
        <v>616</v>
      </c>
      <c r="BX21" s="44">
        <v>88</v>
      </c>
      <c r="CJ21">
        <v>1455</v>
      </c>
      <c r="CK21" s="2" t="s">
        <v>539</v>
      </c>
    </row>
    <row r="22" spans="1:90" ht="12.75">
      <c r="A22" s="18">
        <v>1455</v>
      </c>
      <c r="B22" s="14" t="s">
        <v>1117</v>
      </c>
      <c r="C22" s="14" t="s">
        <v>644</v>
      </c>
      <c r="D22" s="14" t="s">
        <v>222</v>
      </c>
      <c r="E22" s="14" t="s">
        <v>42</v>
      </c>
      <c r="F22" s="32" t="s">
        <v>123</v>
      </c>
      <c r="G22" s="2"/>
      <c r="H22" s="2" t="s">
        <v>537</v>
      </c>
      <c r="I22" s="2" t="s">
        <v>484</v>
      </c>
      <c r="J22" s="14" t="s">
        <v>415</v>
      </c>
      <c r="K22" s="2" t="s">
        <v>543</v>
      </c>
      <c r="L22" s="14" t="s">
        <v>509</v>
      </c>
      <c r="M22" s="14" t="s">
        <v>416</v>
      </c>
      <c r="N22" s="2" t="s">
        <v>1660</v>
      </c>
      <c r="O22" s="10">
        <v>16.5</v>
      </c>
      <c r="P22" s="10"/>
      <c r="Q22" s="10"/>
      <c r="R22" s="9"/>
      <c r="S22" s="9"/>
      <c r="T22" s="9"/>
      <c r="U22" s="44">
        <v>1534.5</v>
      </c>
      <c r="V22" s="44">
        <v>93</v>
      </c>
      <c r="W22" s="22"/>
      <c r="X22" s="22">
        <v>7.75</v>
      </c>
      <c r="AB22" s="44"/>
      <c r="AF22" s="22">
        <v>127.875</v>
      </c>
      <c r="AG22">
        <v>7</v>
      </c>
      <c r="AH22">
        <v>15</v>
      </c>
      <c r="AI22">
        <v>0</v>
      </c>
      <c r="AJ22" s="22">
        <v>7.75</v>
      </c>
      <c r="AK22" s="22"/>
      <c r="BG22" s="7"/>
      <c r="BP22" s="33"/>
      <c r="BS22" s="20"/>
      <c r="BW22" s="44">
        <v>1534.5</v>
      </c>
      <c r="BX22" s="44">
        <v>93</v>
      </c>
      <c r="CJ22">
        <v>1455</v>
      </c>
      <c r="CK22" s="2" t="s">
        <v>543</v>
      </c>
      <c r="CL22" t="s">
        <v>1175</v>
      </c>
    </row>
    <row r="23" spans="1:89" ht="12.75">
      <c r="A23" s="18">
        <v>1455</v>
      </c>
      <c r="B23" s="14" t="s">
        <v>1117</v>
      </c>
      <c r="C23" s="14" t="s">
        <v>644</v>
      </c>
      <c r="D23" s="14" t="s">
        <v>222</v>
      </c>
      <c r="E23" s="14" t="s">
        <v>42</v>
      </c>
      <c r="F23" s="32" t="s">
        <v>125</v>
      </c>
      <c r="G23" s="2"/>
      <c r="H23" s="2" t="s">
        <v>537</v>
      </c>
      <c r="I23" s="2" t="s">
        <v>814</v>
      </c>
      <c r="J23" s="14" t="s">
        <v>415</v>
      </c>
      <c r="K23" s="2" t="s">
        <v>577</v>
      </c>
      <c r="L23" s="14" t="s">
        <v>509</v>
      </c>
      <c r="M23" s="14" t="s">
        <v>1636</v>
      </c>
      <c r="N23" s="2" t="s">
        <v>1610</v>
      </c>
      <c r="O23" s="10">
        <v>1</v>
      </c>
      <c r="P23" s="10"/>
      <c r="Q23" s="10"/>
      <c r="R23" s="9"/>
      <c r="S23" s="9"/>
      <c r="T23" s="9"/>
      <c r="U23" s="44">
        <v>96</v>
      </c>
      <c r="V23" s="44">
        <v>96</v>
      </c>
      <c r="W23" s="22"/>
      <c r="X23" s="22">
        <v>8</v>
      </c>
      <c r="AB23" s="44"/>
      <c r="AC23">
        <v>8</v>
      </c>
      <c r="AD23">
        <v>0</v>
      </c>
      <c r="AE23">
        <v>0</v>
      </c>
      <c r="AF23" s="22">
        <v>8</v>
      </c>
      <c r="AG23">
        <v>8</v>
      </c>
      <c r="AH23">
        <v>0</v>
      </c>
      <c r="AI23">
        <v>0</v>
      </c>
      <c r="AJ23" s="22">
        <v>8</v>
      </c>
      <c r="AK23" s="22"/>
      <c r="BG23" s="7"/>
      <c r="BP23" s="33"/>
      <c r="BS23" s="20"/>
      <c r="BW23" s="44">
        <v>96</v>
      </c>
      <c r="BX23" s="44">
        <v>96</v>
      </c>
      <c r="CJ23">
        <v>1455</v>
      </c>
      <c r="CK23" s="2" t="s">
        <v>577</v>
      </c>
    </row>
    <row r="25" spans="1:89" ht="12.75">
      <c r="A25" s="18">
        <v>1455</v>
      </c>
      <c r="B25" s="14" t="s">
        <v>1239</v>
      </c>
      <c r="C25" s="14" t="s">
        <v>644</v>
      </c>
      <c r="D25" s="14" t="s">
        <v>223</v>
      </c>
      <c r="E25" s="14" t="s">
        <v>11</v>
      </c>
      <c r="F25" s="32" t="s">
        <v>130</v>
      </c>
      <c r="G25" s="2"/>
      <c r="H25" s="2" t="s">
        <v>537</v>
      </c>
      <c r="I25" s="2" t="s">
        <v>849</v>
      </c>
      <c r="J25" s="14" t="s">
        <v>415</v>
      </c>
      <c r="K25" s="2" t="s">
        <v>568</v>
      </c>
      <c r="L25" s="14" t="s">
        <v>509</v>
      </c>
      <c r="M25" s="14" t="s">
        <v>906</v>
      </c>
      <c r="N25" s="2" t="s">
        <v>1660</v>
      </c>
      <c r="O25" s="10">
        <v>5</v>
      </c>
      <c r="P25" s="10"/>
      <c r="Q25" s="10"/>
      <c r="R25" s="9"/>
      <c r="S25" s="9"/>
      <c r="T25" s="9"/>
      <c r="U25" s="44">
        <v>405</v>
      </c>
      <c r="V25" s="44">
        <v>81</v>
      </c>
      <c r="W25" s="22"/>
      <c r="X25" s="22">
        <v>6.75</v>
      </c>
      <c r="AB25" s="44"/>
      <c r="AF25" s="22">
        <v>33.75</v>
      </c>
      <c r="AG25">
        <v>6</v>
      </c>
      <c r="AH25">
        <v>15</v>
      </c>
      <c r="AI25">
        <v>0</v>
      </c>
      <c r="AJ25" s="22">
        <v>6.75</v>
      </c>
      <c r="AK25" s="22"/>
      <c r="AL25" s="34"/>
      <c r="AM25" s="34"/>
      <c r="AN25" s="34"/>
      <c r="AO25" s="34"/>
      <c r="AP25" s="34"/>
      <c r="AQ25" s="34"/>
      <c r="AR25" s="34"/>
      <c r="AS25" s="34"/>
      <c r="AT25" s="34"/>
      <c r="BP25" s="33"/>
      <c r="BS25" s="20"/>
      <c r="BW25" s="44">
        <v>405</v>
      </c>
      <c r="BX25" s="44">
        <v>81</v>
      </c>
      <c r="CJ25">
        <v>1455</v>
      </c>
      <c r="CK25" s="2" t="s">
        <v>568</v>
      </c>
    </row>
    <row r="26" spans="1:90" ht="12.75">
      <c r="A26" s="18">
        <v>1455</v>
      </c>
      <c r="B26" s="14" t="s">
        <v>1239</v>
      </c>
      <c r="C26" s="14" t="s">
        <v>644</v>
      </c>
      <c r="D26" s="14" t="s">
        <v>223</v>
      </c>
      <c r="E26" s="14" t="s">
        <v>11</v>
      </c>
      <c r="F26" s="32" t="s">
        <v>131</v>
      </c>
      <c r="G26" s="2"/>
      <c r="H26" s="2" t="s">
        <v>537</v>
      </c>
      <c r="I26" s="2" t="s">
        <v>849</v>
      </c>
      <c r="J26" s="14" t="s">
        <v>415</v>
      </c>
      <c r="K26" s="2" t="s">
        <v>568</v>
      </c>
      <c r="L26" s="14" t="s">
        <v>509</v>
      </c>
      <c r="M26" s="14" t="s">
        <v>906</v>
      </c>
      <c r="N26" s="2" t="s">
        <v>1660</v>
      </c>
      <c r="O26" s="10">
        <v>5</v>
      </c>
      <c r="P26" s="10"/>
      <c r="Q26" s="10"/>
      <c r="R26" s="9"/>
      <c r="S26" s="9"/>
      <c r="T26" s="9"/>
      <c r="U26" s="44">
        <v>408</v>
      </c>
      <c r="V26" s="44">
        <v>81.6</v>
      </c>
      <c r="W26" s="22"/>
      <c r="X26" s="22">
        <v>6.8</v>
      </c>
      <c r="AB26" s="44"/>
      <c r="AF26" s="22">
        <v>34</v>
      </c>
      <c r="AG26">
        <v>6</v>
      </c>
      <c r="AH26">
        <v>16</v>
      </c>
      <c r="AI26">
        <v>0</v>
      </c>
      <c r="AJ26" s="22">
        <v>6.8</v>
      </c>
      <c r="AK26" s="22"/>
      <c r="AL26" s="34"/>
      <c r="AM26" s="34"/>
      <c r="AN26" s="34"/>
      <c r="AO26" s="34"/>
      <c r="AP26" s="34"/>
      <c r="AQ26" s="34"/>
      <c r="AR26" s="34"/>
      <c r="AS26" s="34"/>
      <c r="AT26" s="34"/>
      <c r="BD26" s="7"/>
      <c r="BE26" s="19"/>
      <c r="BF26" s="19"/>
      <c r="BP26" s="33"/>
      <c r="BS26" s="20"/>
      <c r="BW26" s="44">
        <v>408</v>
      </c>
      <c r="BX26" s="44">
        <v>81.6</v>
      </c>
      <c r="CJ26">
        <v>1455</v>
      </c>
      <c r="CK26" s="2" t="s">
        <v>568</v>
      </c>
      <c r="CL26" t="s">
        <v>1194</v>
      </c>
    </row>
    <row r="27" spans="1:89" ht="12.75">
      <c r="A27" s="18">
        <v>1455</v>
      </c>
      <c r="B27" s="14" t="s">
        <v>1239</v>
      </c>
      <c r="C27" s="14" t="s">
        <v>644</v>
      </c>
      <c r="D27" s="14" t="s">
        <v>223</v>
      </c>
      <c r="E27" s="14" t="s">
        <v>11</v>
      </c>
      <c r="F27" s="32" t="s">
        <v>132</v>
      </c>
      <c r="G27" s="2"/>
      <c r="H27" s="2" t="s">
        <v>537</v>
      </c>
      <c r="I27" s="2" t="s">
        <v>849</v>
      </c>
      <c r="J27" s="14" t="s">
        <v>415</v>
      </c>
      <c r="K27" s="2" t="s">
        <v>568</v>
      </c>
      <c r="L27" s="14" t="s">
        <v>509</v>
      </c>
      <c r="M27" s="14" t="s">
        <v>906</v>
      </c>
      <c r="N27" s="2" t="s">
        <v>1660</v>
      </c>
      <c r="O27" s="10">
        <v>5</v>
      </c>
      <c r="P27" s="10"/>
      <c r="Q27" s="10"/>
      <c r="R27" s="9"/>
      <c r="S27" s="9"/>
      <c r="T27" s="9"/>
      <c r="U27" s="44">
        <v>409.5</v>
      </c>
      <c r="V27" s="44">
        <v>81.9</v>
      </c>
      <c r="W27" s="22"/>
      <c r="X27" s="22">
        <v>6.825</v>
      </c>
      <c r="AB27" s="44"/>
      <c r="AF27" s="22">
        <v>34.125</v>
      </c>
      <c r="AG27">
        <v>6</v>
      </c>
      <c r="AH27">
        <v>16</v>
      </c>
      <c r="AI27">
        <v>6</v>
      </c>
      <c r="AJ27" s="22">
        <v>6.825</v>
      </c>
      <c r="AK27" s="22"/>
      <c r="AL27" s="34"/>
      <c r="AM27" s="34"/>
      <c r="AN27" s="34"/>
      <c r="AO27" s="34"/>
      <c r="AP27" s="34"/>
      <c r="AQ27" s="34"/>
      <c r="AR27" s="34"/>
      <c r="AS27" s="34"/>
      <c r="AT27" s="34"/>
      <c r="BD27" s="7"/>
      <c r="BE27" s="19"/>
      <c r="BF27" s="19"/>
      <c r="BP27" s="33"/>
      <c r="BS27" s="20"/>
      <c r="BW27" s="44">
        <v>409.5</v>
      </c>
      <c r="BX27" s="44">
        <v>81.9</v>
      </c>
      <c r="CJ27">
        <v>1455</v>
      </c>
      <c r="CK27" s="2" t="s">
        <v>568</v>
      </c>
    </row>
    <row r="28" spans="1:89" ht="12.75">
      <c r="A28" s="18">
        <v>1455</v>
      </c>
      <c r="B28" s="14" t="s">
        <v>1239</v>
      </c>
      <c r="C28" s="14" t="s">
        <v>644</v>
      </c>
      <c r="D28" s="14" t="s">
        <v>223</v>
      </c>
      <c r="E28" s="14" t="s">
        <v>11</v>
      </c>
      <c r="F28" s="32" t="s">
        <v>133</v>
      </c>
      <c r="G28" s="2"/>
      <c r="H28" s="2" t="s">
        <v>537</v>
      </c>
      <c r="I28" s="2" t="s">
        <v>849</v>
      </c>
      <c r="J28" s="14" t="s">
        <v>415</v>
      </c>
      <c r="K28" s="2" t="s">
        <v>568</v>
      </c>
      <c r="L28" s="14" t="s">
        <v>509</v>
      </c>
      <c r="M28" s="14" t="s">
        <v>906</v>
      </c>
      <c r="N28" s="2" t="s">
        <v>1660</v>
      </c>
      <c r="O28" s="10">
        <v>5</v>
      </c>
      <c r="P28" s="10"/>
      <c r="Q28" s="10"/>
      <c r="R28" s="9"/>
      <c r="S28" s="9"/>
      <c r="T28" s="9"/>
      <c r="U28" s="44">
        <v>390</v>
      </c>
      <c r="V28" s="44">
        <v>78</v>
      </c>
      <c r="W28" s="22"/>
      <c r="X28" s="22">
        <v>6.5</v>
      </c>
      <c r="AB28" s="44"/>
      <c r="AF28" s="22">
        <v>32.5</v>
      </c>
      <c r="AG28">
        <v>6</v>
      </c>
      <c r="AH28">
        <v>10</v>
      </c>
      <c r="AI28">
        <v>0</v>
      </c>
      <c r="AJ28" s="22">
        <v>6.5</v>
      </c>
      <c r="AK28" s="22"/>
      <c r="AL28" s="34"/>
      <c r="AM28" s="34"/>
      <c r="AN28" s="34"/>
      <c r="AO28" s="34"/>
      <c r="AP28" s="34"/>
      <c r="AQ28" s="34"/>
      <c r="AR28" s="34"/>
      <c r="AS28" s="34"/>
      <c r="AT28" s="34"/>
      <c r="BD28" s="7"/>
      <c r="BE28" s="19"/>
      <c r="BF28" s="19"/>
      <c r="BP28" s="33"/>
      <c r="BS28" s="20"/>
      <c r="BW28" s="44">
        <v>390</v>
      </c>
      <c r="BX28" s="44">
        <v>78</v>
      </c>
      <c r="CJ28">
        <v>1455</v>
      </c>
      <c r="CK28" s="2" t="s">
        <v>568</v>
      </c>
    </row>
    <row r="30" spans="1:89" ht="12.75">
      <c r="A30" s="18">
        <v>1456</v>
      </c>
      <c r="B30" s="14" t="s">
        <v>1117</v>
      </c>
      <c r="C30" s="14" t="s">
        <v>644</v>
      </c>
      <c r="D30" s="14" t="s">
        <v>223</v>
      </c>
      <c r="E30" s="14" t="s">
        <v>39</v>
      </c>
      <c r="F30" s="32" t="s">
        <v>134</v>
      </c>
      <c r="G30" s="2">
        <v>1</v>
      </c>
      <c r="H30" s="2" t="s">
        <v>537</v>
      </c>
      <c r="I30" s="2" t="s">
        <v>881</v>
      </c>
      <c r="J30" s="14" t="s">
        <v>415</v>
      </c>
      <c r="K30" s="2" t="s">
        <v>548</v>
      </c>
      <c r="L30" s="14" t="s">
        <v>509</v>
      </c>
      <c r="M30" s="14" t="s">
        <v>453</v>
      </c>
      <c r="N30" s="2" t="s">
        <v>1660</v>
      </c>
      <c r="O30" s="10">
        <v>10</v>
      </c>
      <c r="P30" s="10"/>
      <c r="Q30" s="10"/>
      <c r="R30" s="9"/>
      <c r="S30" s="9"/>
      <c r="T30" s="9"/>
      <c r="U30" s="44">
        <v>911.9999999999999</v>
      </c>
      <c r="V30" s="44">
        <v>91.19999999999999</v>
      </c>
      <c r="W30" s="22"/>
      <c r="X30" s="22">
        <v>7.6</v>
      </c>
      <c r="AB30" s="44"/>
      <c r="AF30" s="22">
        <v>76</v>
      </c>
      <c r="AG30">
        <v>7</v>
      </c>
      <c r="AH30">
        <v>12</v>
      </c>
      <c r="AI30">
        <v>0</v>
      </c>
      <c r="AJ30" s="22">
        <v>7.6</v>
      </c>
      <c r="AK30" s="22"/>
      <c r="AY30" s="7"/>
      <c r="BP30" s="33"/>
      <c r="BS30" s="20"/>
      <c r="BW30" s="44">
        <v>911.9999999999999</v>
      </c>
      <c r="BX30" s="44">
        <v>91.19999999999999</v>
      </c>
      <c r="CJ30">
        <v>1456</v>
      </c>
      <c r="CK30" s="2" t="s">
        <v>548</v>
      </c>
    </row>
    <row r="31" spans="1:89" ht="12.75">
      <c r="A31" s="18">
        <v>1456</v>
      </c>
      <c r="B31" s="14" t="s">
        <v>1117</v>
      </c>
      <c r="C31" s="14" t="s">
        <v>644</v>
      </c>
      <c r="D31" s="14" t="s">
        <v>223</v>
      </c>
      <c r="E31" s="14" t="s">
        <v>39</v>
      </c>
      <c r="F31" s="32" t="s">
        <v>135</v>
      </c>
      <c r="G31" s="2">
        <v>1</v>
      </c>
      <c r="H31" s="2" t="s">
        <v>537</v>
      </c>
      <c r="I31" s="2" t="s">
        <v>881</v>
      </c>
      <c r="J31" s="14" t="s">
        <v>415</v>
      </c>
      <c r="K31" s="2" t="s">
        <v>548</v>
      </c>
      <c r="L31" s="14" t="s">
        <v>509</v>
      </c>
      <c r="M31" s="14" t="s">
        <v>453</v>
      </c>
      <c r="N31" s="2" t="s">
        <v>652</v>
      </c>
      <c r="O31" s="10">
        <v>7</v>
      </c>
      <c r="P31" s="10"/>
      <c r="Q31" s="10"/>
      <c r="R31" s="9"/>
      <c r="S31" s="9"/>
      <c r="T31" s="9"/>
      <c r="U31" s="44">
        <v>638.3999999999999</v>
      </c>
      <c r="V31" s="44">
        <v>91.19999999999999</v>
      </c>
      <c r="W31" s="22"/>
      <c r="X31" s="22">
        <v>7.6</v>
      </c>
      <c r="AB31" s="44"/>
      <c r="AF31" s="22">
        <v>53.2</v>
      </c>
      <c r="AG31">
        <v>7</v>
      </c>
      <c r="AH31">
        <v>12</v>
      </c>
      <c r="AI31">
        <v>0</v>
      </c>
      <c r="AJ31" s="22">
        <v>7.6</v>
      </c>
      <c r="AK31" s="22"/>
      <c r="AX31" s="22">
        <v>7.6</v>
      </c>
      <c r="AZ31" s="7"/>
      <c r="BG31" s="22">
        <v>7.6</v>
      </c>
      <c r="BP31" s="33"/>
      <c r="BS31" s="20"/>
      <c r="BW31" s="44">
        <v>638.3999999999999</v>
      </c>
      <c r="BX31" s="44">
        <v>91.19999999999997</v>
      </c>
      <c r="CJ31">
        <v>1456</v>
      </c>
      <c r="CK31" s="2" t="s">
        <v>548</v>
      </c>
    </row>
    <row r="32" spans="1:90" ht="12.75">
      <c r="A32" s="18">
        <v>1456</v>
      </c>
      <c r="B32" s="14" t="s">
        <v>1117</v>
      </c>
      <c r="C32" s="14" t="s">
        <v>644</v>
      </c>
      <c r="D32" s="14" t="s">
        <v>223</v>
      </c>
      <c r="E32" s="14" t="s">
        <v>39</v>
      </c>
      <c r="F32" s="32" t="s">
        <v>136</v>
      </c>
      <c r="G32" s="2">
        <v>1</v>
      </c>
      <c r="H32" s="2" t="s">
        <v>537</v>
      </c>
      <c r="I32" s="2" t="s">
        <v>815</v>
      </c>
      <c r="J32" s="14" t="s">
        <v>415</v>
      </c>
      <c r="K32" s="2" t="s">
        <v>552</v>
      </c>
      <c r="L32" s="14" t="s">
        <v>509</v>
      </c>
      <c r="M32" s="14" t="s">
        <v>416</v>
      </c>
      <c r="N32" s="2" t="s">
        <v>1660</v>
      </c>
      <c r="O32" s="10">
        <v>10</v>
      </c>
      <c r="P32" s="10"/>
      <c r="Q32" s="10"/>
      <c r="R32" s="9"/>
      <c r="S32" s="9"/>
      <c r="T32" s="9"/>
      <c r="U32" s="44">
        <v>840</v>
      </c>
      <c r="V32" s="44">
        <v>84</v>
      </c>
      <c r="W32" s="22"/>
      <c r="X32" s="22">
        <v>7</v>
      </c>
      <c r="AB32" s="44"/>
      <c r="AF32" s="22">
        <v>70</v>
      </c>
      <c r="AG32">
        <v>7</v>
      </c>
      <c r="AH32">
        <v>0</v>
      </c>
      <c r="AI32">
        <v>0</v>
      </c>
      <c r="AJ32" s="22">
        <v>7</v>
      </c>
      <c r="AK32" s="22"/>
      <c r="BG32" s="7"/>
      <c r="BL32" s="22">
        <v>0.7</v>
      </c>
      <c r="BM32" s="22">
        <v>0.09833333333333333</v>
      </c>
      <c r="BN32" s="22">
        <v>0.06333333333333334</v>
      </c>
      <c r="BO32" s="22">
        <v>0.8616666666666666</v>
      </c>
      <c r="BP32" s="34">
        <v>7.861666666666666</v>
      </c>
      <c r="BQ32" s="37">
        <v>0.08903964384142463</v>
      </c>
      <c r="BR32" s="37">
        <v>0.020563917744329023</v>
      </c>
      <c r="BS32" s="20">
        <v>0.10960356158575366</v>
      </c>
      <c r="BW32" s="44">
        <v>943.4</v>
      </c>
      <c r="BX32" s="44">
        <v>94.34</v>
      </c>
      <c r="CJ32">
        <v>1456</v>
      </c>
      <c r="CK32" s="2" t="s">
        <v>552</v>
      </c>
      <c r="CL32" t="s">
        <v>54</v>
      </c>
    </row>
    <row r="33" spans="1:89" ht="12.75">
      <c r="A33" s="18">
        <v>1456</v>
      </c>
      <c r="B33" s="14" t="s">
        <v>1117</v>
      </c>
      <c r="C33" s="14" t="s">
        <v>644</v>
      </c>
      <c r="D33" s="14" t="s">
        <v>223</v>
      </c>
      <c r="E33" s="14" t="s">
        <v>39</v>
      </c>
      <c r="F33" s="32" t="s">
        <v>138</v>
      </c>
      <c r="G33" s="2">
        <v>1</v>
      </c>
      <c r="H33" s="2" t="s">
        <v>537</v>
      </c>
      <c r="I33" s="2" t="s">
        <v>875</v>
      </c>
      <c r="J33" s="14" t="s">
        <v>415</v>
      </c>
      <c r="K33" s="2" t="s">
        <v>577</v>
      </c>
      <c r="L33" s="14" t="s">
        <v>509</v>
      </c>
      <c r="M33" s="14" t="s">
        <v>1636</v>
      </c>
      <c r="N33" s="2" t="s">
        <v>1660</v>
      </c>
      <c r="O33" s="10">
        <v>1</v>
      </c>
      <c r="P33" s="10"/>
      <c r="Q33" s="10"/>
      <c r="R33" s="9"/>
      <c r="S33" s="9"/>
      <c r="T33" s="9"/>
      <c r="U33" s="44">
        <v>96</v>
      </c>
      <c r="V33" s="44">
        <v>96</v>
      </c>
      <c r="W33" s="22"/>
      <c r="X33" s="22">
        <v>8</v>
      </c>
      <c r="AB33" s="44"/>
      <c r="AC33">
        <v>8</v>
      </c>
      <c r="AD33">
        <v>0</v>
      </c>
      <c r="AE33">
        <v>0</v>
      </c>
      <c r="AF33" s="22">
        <v>8</v>
      </c>
      <c r="AG33">
        <v>8</v>
      </c>
      <c r="AH33">
        <v>0</v>
      </c>
      <c r="AI33">
        <v>0</v>
      </c>
      <c r="AJ33" s="22">
        <v>8</v>
      </c>
      <c r="AK33" s="22"/>
      <c r="BG33" s="7"/>
      <c r="BP33" s="33"/>
      <c r="BS33" s="20"/>
      <c r="BW33" s="44">
        <v>96</v>
      </c>
      <c r="BX33" s="44">
        <v>96</v>
      </c>
      <c r="CJ33">
        <v>1456</v>
      </c>
      <c r="CK33" s="2" t="s">
        <v>577</v>
      </c>
    </row>
    <row r="35" spans="1:90" ht="12.75">
      <c r="A35" s="18">
        <v>1456</v>
      </c>
      <c r="B35" s="14" t="s">
        <v>1239</v>
      </c>
      <c r="C35" s="14" t="s">
        <v>644</v>
      </c>
      <c r="D35" s="14" t="s">
        <v>224</v>
      </c>
      <c r="E35" s="14" t="s">
        <v>38</v>
      </c>
      <c r="F35" s="32" t="s">
        <v>145</v>
      </c>
      <c r="G35" s="2"/>
      <c r="H35" s="2" t="s">
        <v>537</v>
      </c>
      <c r="I35" s="2" t="s">
        <v>782</v>
      </c>
      <c r="J35" s="14" t="s">
        <v>415</v>
      </c>
      <c r="K35" s="2" t="s">
        <v>778</v>
      </c>
      <c r="L35" s="14" t="s">
        <v>509</v>
      </c>
      <c r="M35" s="14" t="s">
        <v>906</v>
      </c>
      <c r="N35" s="2" t="s">
        <v>1666</v>
      </c>
      <c r="O35" s="10"/>
      <c r="P35" s="10">
        <v>10</v>
      </c>
      <c r="Q35" s="10"/>
      <c r="R35" s="9"/>
      <c r="S35" s="9"/>
      <c r="T35" s="9"/>
      <c r="U35" s="44">
        <v>30</v>
      </c>
      <c r="V35" s="44"/>
      <c r="W35" s="22">
        <v>60</v>
      </c>
      <c r="X35" s="22"/>
      <c r="AB35" s="44"/>
      <c r="AC35">
        <v>2</v>
      </c>
      <c r="AD35">
        <v>10</v>
      </c>
      <c r="AE35">
        <v>0</v>
      </c>
      <c r="AF35" s="22">
        <v>2.5</v>
      </c>
      <c r="AJ35" s="22"/>
      <c r="AK35" s="22">
        <v>5</v>
      </c>
      <c r="AL35" s="34"/>
      <c r="AM35" s="34"/>
      <c r="AN35" s="34"/>
      <c r="AO35" s="34"/>
      <c r="AP35" s="34"/>
      <c r="AQ35" s="34"/>
      <c r="AR35" s="34"/>
      <c r="AS35" s="34"/>
      <c r="AT35" s="34"/>
      <c r="AW35" s="7"/>
      <c r="BD35" s="7"/>
      <c r="BE35" s="19"/>
      <c r="BF35" s="19"/>
      <c r="BP35" s="33"/>
      <c r="BS35" s="20"/>
      <c r="BW35" s="44">
        <v>30</v>
      </c>
      <c r="BX35" s="44"/>
      <c r="CJ35">
        <v>1456</v>
      </c>
      <c r="CK35" s="2" t="s">
        <v>778</v>
      </c>
      <c r="CL35" t="s">
        <v>46</v>
      </c>
    </row>
    <row r="37" spans="1:89" ht="12.75">
      <c r="A37" s="18">
        <v>1457</v>
      </c>
      <c r="B37" s="14" t="s">
        <v>1117</v>
      </c>
      <c r="C37" s="14" t="s">
        <v>644</v>
      </c>
      <c r="D37" s="14" t="s">
        <v>224</v>
      </c>
      <c r="E37" s="14" t="s">
        <v>11</v>
      </c>
      <c r="F37" s="32" t="s">
        <v>146</v>
      </c>
      <c r="G37" s="2">
        <v>1</v>
      </c>
      <c r="H37" s="2" t="s">
        <v>537</v>
      </c>
      <c r="I37" s="2" t="s">
        <v>830</v>
      </c>
      <c r="J37" s="14" t="s">
        <v>415</v>
      </c>
      <c r="K37" s="2" t="s">
        <v>580</v>
      </c>
      <c r="L37" s="14" t="s">
        <v>509</v>
      </c>
      <c r="M37" s="14" t="s">
        <v>1668</v>
      </c>
      <c r="N37" s="2" t="s">
        <v>1660</v>
      </c>
      <c r="O37" s="10">
        <v>10</v>
      </c>
      <c r="P37" s="10"/>
      <c r="Q37" s="10"/>
      <c r="R37" s="9"/>
      <c r="S37" s="9"/>
      <c r="T37" s="9"/>
      <c r="U37" s="44">
        <v>870</v>
      </c>
      <c r="V37" s="44">
        <v>87</v>
      </c>
      <c r="W37" s="22"/>
      <c r="X37" s="22">
        <v>7.25</v>
      </c>
      <c r="AB37" s="44"/>
      <c r="AF37" s="22">
        <v>72.5</v>
      </c>
      <c r="AG37">
        <v>7</v>
      </c>
      <c r="AH37">
        <v>5</v>
      </c>
      <c r="AI37">
        <v>0</v>
      </c>
      <c r="AJ37" s="22">
        <v>7.25</v>
      </c>
      <c r="AK37" s="22"/>
      <c r="AL37" s="34"/>
      <c r="AM37" s="34"/>
      <c r="AN37" s="34"/>
      <c r="AO37" s="34"/>
      <c r="AP37" s="34"/>
      <c r="AQ37" s="34"/>
      <c r="AR37" s="34"/>
      <c r="AS37" s="34"/>
      <c r="AT37" s="34"/>
      <c r="BG37" s="7"/>
      <c r="BP37" s="33"/>
      <c r="BS37" s="20"/>
      <c r="BW37" s="44">
        <v>870</v>
      </c>
      <c r="BX37" s="44">
        <v>87</v>
      </c>
      <c r="CJ37">
        <v>1457</v>
      </c>
      <c r="CK37" s="2" t="s">
        <v>580</v>
      </c>
    </row>
    <row r="38" spans="1:89" ht="12.75">
      <c r="A38" s="18">
        <v>1457</v>
      </c>
      <c r="B38" s="14" t="s">
        <v>1117</v>
      </c>
      <c r="C38" s="14" t="s">
        <v>644</v>
      </c>
      <c r="D38" s="14" t="s">
        <v>224</v>
      </c>
      <c r="E38" s="14" t="s">
        <v>11</v>
      </c>
      <c r="F38" s="32" t="s">
        <v>147</v>
      </c>
      <c r="G38" s="2">
        <v>1</v>
      </c>
      <c r="H38" s="2" t="s">
        <v>537</v>
      </c>
      <c r="I38" s="2" t="s">
        <v>820</v>
      </c>
      <c r="J38" s="14" t="s">
        <v>415</v>
      </c>
      <c r="K38" s="2" t="s">
        <v>554</v>
      </c>
      <c r="L38" s="14" t="s">
        <v>509</v>
      </c>
      <c r="M38" s="14" t="s">
        <v>1358</v>
      </c>
      <c r="N38" s="2" t="s">
        <v>1660</v>
      </c>
      <c r="O38" s="10">
        <v>10</v>
      </c>
      <c r="P38" s="10"/>
      <c r="Q38" s="10"/>
      <c r="R38" s="9"/>
      <c r="S38" s="9"/>
      <c r="T38" s="9"/>
      <c r="U38" s="44">
        <v>870</v>
      </c>
      <c r="V38" s="44">
        <v>87</v>
      </c>
      <c r="W38" s="22"/>
      <c r="X38" s="22">
        <v>7.25</v>
      </c>
      <c r="AB38" s="44"/>
      <c r="AF38" s="22">
        <v>72.5</v>
      </c>
      <c r="AG38">
        <v>7</v>
      </c>
      <c r="AH38">
        <v>5</v>
      </c>
      <c r="AI38">
        <v>0</v>
      </c>
      <c r="AJ38" s="22">
        <v>7.25</v>
      </c>
      <c r="AK38" s="22"/>
      <c r="AL38" s="34"/>
      <c r="AM38" s="34"/>
      <c r="AN38" s="34"/>
      <c r="AO38" s="34"/>
      <c r="AP38" s="34"/>
      <c r="AQ38" s="34"/>
      <c r="AR38" s="34"/>
      <c r="AS38" s="34"/>
      <c r="AT38" s="34"/>
      <c r="BG38" s="7"/>
      <c r="BP38" s="33"/>
      <c r="BS38" s="20"/>
      <c r="BW38" s="44">
        <v>870</v>
      </c>
      <c r="BX38" s="44">
        <v>87</v>
      </c>
      <c r="CJ38">
        <v>1457</v>
      </c>
      <c r="CK38" s="2" t="s">
        <v>554</v>
      </c>
    </row>
    <row r="39" spans="1:90" ht="12.75">
      <c r="A39" s="18">
        <v>1457</v>
      </c>
      <c r="B39" s="14" t="s">
        <v>1117</v>
      </c>
      <c r="C39" s="14" t="s">
        <v>644</v>
      </c>
      <c r="D39" s="14" t="s">
        <v>224</v>
      </c>
      <c r="E39" s="14" t="s">
        <v>11</v>
      </c>
      <c r="F39" s="32" t="s">
        <v>148</v>
      </c>
      <c r="G39" s="2">
        <v>1</v>
      </c>
      <c r="H39" s="2" t="s">
        <v>537</v>
      </c>
      <c r="I39" s="2" t="s">
        <v>874</v>
      </c>
      <c r="J39" s="14" t="s">
        <v>415</v>
      </c>
      <c r="K39" s="2" t="s">
        <v>578</v>
      </c>
      <c r="L39" s="14" t="s">
        <v>509</v>
      </c>
      <c r="M39" s="14" t="s">
        <v>1358</v>
      </c>
      <c r="N39" s="2" t="s">
        <v>1660</v>
      </c>
      <c r="O39" s="10">
        <v>17</v>
      </c>
      <c r="P39" s="10"/>
      <c r="Q39" s="10"/>
      <c r="R39" s="9"/>
      <c r="S39" s="9"/>
      <c r="T39" s="9"/>
      <c r="U39" s="44">
        <v>1479</v>
      </c>
      <c r="V39" s="44">
        <v>87</v>
      </c>
      <c r="W39" s="22"/>
      <c r="X39" s="22">
        <v>7.25</v>
      </c>
      <c r="AF39" s="22">
        <v>123.25</v>
      </c>
      <c r="AG39">
        <v>7</v>
      </c>
      <c r="AH39">
        <v>5</v>
      </c>
      <c r="AI39">
        <v>0</v>
      </c>
      <c r="AJ39" s="22">
        <v>7.25</v>
      </c>
      <c r="AK39" s="22"/>
      <c r="AL39" s="34"/>
      <c r="AM39" s="34"/>
      <c r="AN39" s="34"/>
      <c r="AO39" s="34"/>
      <c r="AP39" s="34"/>
      <c r="AQ39" s="34"/>
      <c r="AR39" s="34"/>
      <c r="AS39" s="34"/>
      <c r="AT39" s="34"/>
      <c r="BL39" s="22">
        <v>0.8823529411764706</v>
      </c>
      <c r="BM39" s="22">
        <v>0.052941176470588235</v>
      </c>
      <c r="BN39" s="22">
        <v>0.061764705882352944</v>
      </c>
      <c r="BO39" s="22">
        <v>0.9970588235294118</v>
      </c>
      <c r="BP39" s="34">
        <v>8.24705882352941</v>
      </c>
      <c r="BQ39" s="37">
        <v>0.10699001426533525</v>
      </c>
      <c r="BR39" s="37">
        <v>0.013908701854493583</v>
      </c>
      <c r="BS39" s="20">
        <v>0.12089871611982883</v>
      </c>
      <c r="BW39" s="44">
        <v>1682.4</v>
      </c>
      <c r="BX39" s="44">
        <v>98.96470588235294</v>
      </c>
      <c r="CJ39">
        <v>1457</v>
      </c>
      <c r="CK39" s="2" t="s">
        <v>578</v>
      </c>
      <c r="CL39" t="s">
        <v>19</v>
      </c>
    </row>
    <row r="40" spans="1:89" ht="12.75">
      <c r="A40" s="18">
        <v>1457</v>
      </c>
      <c r="B40" s="14" t="s">
        <v>1117</v>
      </c>
      <c r="C40" s="14" t="s">
        <v>644</v>
      </c>
      <c r="D40" s="14" t="s">
        <v>224</v>
      </c>
      <c r="E40" s="14" t="s">
        <v>11</v>
      </c>
      <c r="F40" s="32" t="s">
        <v>149</v>
      </c>
      <c r="G40" s="2">
        <v>1</v>
      </c>
      <c r="H40" s="2" t="s">
        <v>537</v>
      </c>
      <c r="I40" s="2" t="s">
        <v>872</v>
      </c>
      <c r="J40" s="14" t="s">
        <v>415</v>
      </c>
      <c r="K40" s="2" t="s">
        <v>577</v>
      </c>
      <c r="L40" s="14" t="s">
        <v>509</v>
      </c>
      <c r="M40" s="14" t="s">
        <v>1636</v>
      </c>
      <c r="N40" s="2" t="s">
        <v>1609</v>
      </c>
      <c r="O40" s="10">
        <v>7</v>
      </c>
      <c r="P40" s="10"/>
      <c r="Q40" s="10"/>
      <c r="R40" s="9"/>
      <c r="S40" s="9"/>
      <c r="T40" s="9"/>
      <c r="U40" s="44">
        <v>378</v>
      </c>
      <c r="V40" s="44">
        <v>54</v>
      </c>
      <c r="W40" s="22"/>
      <c r="X40" s="22">
        <v>4.5</v>
      </c>
      <c r="AB40" s="44"/>
      <c r="AF40" s="22">
        <v>31.5</v>
      </c>
      <c r="AG40">
        <v>4</v>
      </c>
      <c r="AH40">
        <v>10</v>
      </c>
      <c r="AI40">
        <v>0</v>
      </c>
      <c r="AJ40" s="22">
        <v>4.5</v>
      </c>
      <c r="AK40" s="22"/>
      <c r="BG40" s="7"/>
      <c r="BP40" s="33"/>
      <c r="BS40" s="20"/>
      <c r="BW40" s="44">
        <v>378</v>
      </c>
      <c r="BX40" s="44">
        <v>54</v>
      </c>
      <c r="CJ40">
        <v>1457</v>
      </c>
      <c r="CK40" s="2" t="s">
        <v>577</v>
      </c>
    </row>
    <row r="41" spans="1:89" ht="12.75">
      <c r="A41" s="18">
        <v>1457</v>
      </c>
      <c r="B41" s="14" t="s">
        <v>1117</v>
      </c>
      <c r="C41" s="14" t="s">
        <v>644</v>
      </c>
      <c r="D41" s="14" t="s">
        <v>224</v>
      </c>
      <c r="E41" s="14" t="s">
        <v>11</v>
      </c>
      <c r="F41" s="32" t="s">
        <v>150</v>
      </c>
      <c r="G41" s="2">
        <v>1</v>
      </c>
      <c r="H41" s="2" t="s">
        <v>537</v>
      </c>
      <c r="I41" s="2" t="s">
        <v>873</v>
      </c>
      <c r="J41" s="14" t="s">
        <v>415</v>
      </c>
      <c r="K41" s="2" t="s">
        <v>577</v>
      </c>
      <c r="L41" s="14" t="s">
        <v>509</v>
      </c>
      <c r="M41" s="14" t="s">
        <v>1636</v>
      </c>
      <c r="N41" s="2" t="s">
        <v>1609</v>
      </c>
      <c r="O41" s="10">
        <v>1</v>
      </c>
      <c r="P41" s="10"/>
      <c r="Q41" s="10"/>
      <c r="R41" s="9"/>
      <c r="S41" s="9"/>
      <c r="T41" s="9"/>
      <c r="U41" s="44">
        <v>96</v>
      </c>
      <c r="V41" s="44">
        <v>96</v>
      </c>
      <c r="W41" s="22"/>
      <c r="X41" s="22">
        <v>8</v>
      </c>
      <c r="AB41" s="44"/>
      <c r="AC41">
        <v>8</v>
      </c>
      <c r="AD41">
        <v>0</v>
      </c>
      <c r="AE41">
        <v>0</v>
      </c>
      <c r="AF41" s="22">
        <v>8</v>
      </c>
      <c r="AG41">
        <v>8</v>
      </c>
      <c r="AH41">
        <v>0</v>
      </c>
      <c r="AI41">
        <v>0</v>
      </c>
      <c r="AJ41" s="22">
        <v>8</v>
      </c>
      <c r="AK41" s="22"/>
      <c r="BG41" s="7"/>
      <c r="BP41" s="33"/>
      <c r="BS41" s="20"/>
      <c r="BW41" s="44">
        <v>96</v>
      </c>
      <c r="BX41" s="44">
        <v>96</v>
      </c>
      <c r="CJ41">
        <v>1457</v>
      </c>
      <c r="CK41" s="2" t="s">
        <v>577</v>
      </c>
    </row>
    <row r="43" spans="1:90" ht="12.75">
      <c r="A43" s="18">
        <v>1457</v>
      </c>
      <c r="B43" s="14" t="s">
        <v>1117</v>
      </c>
      <c r="C43" s="14" t="s">
        <v>644</v>
      </c>
      <c r="D43" s="14" t="s">
        <v>224</v>
      </c>
      <c r="E43" s="14" t="s">
        <v>11</v>
      </c>
      <c r="F43" s="32" t="s">
        <v>151</v>
      </c>
      <c r="G43" s="2">
        <v>2</v>
      </c>
      <c r="H43" s="2" t="s">
        <v>537</v>
      </c>
      <c r="I43" s="2" t="s">
        <v>1496</v>
      </c>
      <c r="J43" s="14" t="s">
        <v>1414</v>
      </c>
      <c r="K43" s="2" t="s">
        <v>595</v>
      </c>
      <c r="L43" s="14" t="s">
        <v>509</v>
      </c>
      <c r="M43" s="14" t="s">
        <v>1611</v>
      </c>
      <c r="N43" s="2" t="s">
        <v>1342</v>
      </c>
      <c r="O43" s="10">
        <v>5</v>
      </c>
      <c r="P43" s="10"/>
      <c r="Q43" s="10"/>
      <c r="R43" s="9"/>
      <c r="S43" s="9"/>
      <c r="T43" s="9"/>
      <c r="U43" s="44">
        <v>192.00000000000003</v>
      </c>
      <c r="V43" s="44">
        <v>38.400000000000006</v>
      </c>
      <c r="W43" s="22"/>
      <c r="X43" s="22">
        <v>3.2</v>
      </c>
      <c r="AB43" s="44"/>
      <c r="AF43" s="22">
        <v>16</v>
      </c>
      <c r="AG43">
        <v>3</v>
      </c>
      <c r="AH43">
        <v>4</v>
      </c>
      <c r="AI43">
        <v>0</v>
      </c>
      <c r="AJ43" s="22">
        <v>3.2</v>
      </c>
      <c r="AK43" s="22"/>
      <c r="AL43" s="22">
        <v>3.2</v>
      </c>
      <c r="BD43" s="7"/>
      <c r="BE43" s="19"/>
      <c r="BF43" s="19"/>
      <c r="BP43" s="33"/>
      <c r="BS43" s="20"/>
      <c r="BW43" s="44">
        <v>192.00000000000003</v>
      </c>
      <c r="BX43" s="44">
        <v>38.400000000000006</v>
      </c>
      <c r="CJ43">
        <v>1457</v>
      </c>
      <c r="CK43" s="2" t="s">
        <v>595</v>
      </c>
      <c r="CL43" t="s">
        <v>1193</v>
      </c>
    </row>
    <row r="44" spans="1:89" ht="12.75">
      <c r="A44" s="18">
        <v>1457</v>
      </c>
      <c r="B44" s="14" t="s">
        <v>1117</v>
      </c>
      <c r="C44" s="14" t="s">
        <v>644</v>
      </c>
      <c r="D44" s="14" t="s">
        <v>224</v>
      </c>
      <c r="E44" s="14" t="s">
        <v>11</v>
      </c>
      <c r="F44" s="32" t="s">
        <v>153</v>
      </c>
      <c r="G44" s="2">
        <v>2</v>
      </c>
      <c r="H44" s="2" t="s">
        <v>537</v>
      </c>
      <c r="I44" s="2" t="s">
        <v>609</v>
      </c>
      <c r="J44" s="14" t="s">
        <v>415</v>
      </c>
      <c r="K44" s="2" t="s">
        <v>585</v>
      </c>
      <c r="L44" s="14" t="s">
        <v>509</v>
      </c>
      <c r="M44" s="14" t="s">
        <v>906</v>
      </c>
      <c r="N44" s="2" t="s">
        <v>921</v>
      </c>
      <c r="O44" s="10">
        <v>7.5</v>
      </c>
      <c r="P44" s="10"/>
      <c r="Q44" s="10"/>
      <c r="R44" s="9"/>
      <c r="S44" s="9"/>
      <c r="T44" s="9"/>
      <c r="U44" s="44">
        <v>234.00000000000003</v>
      </c>
      <c r="V44" s="44">
        <v>31.200000000000003</v>
      </c>
      <c r="W44" s="22"/>
      <c r="X44" s="22">
        <v>2.6</v>
      </c>
      <c r="AB44" s="44"/>
      <c r="AF44" s="22">
        <v>19.5</v>
      </c>
      <c r="AG44">
        <v>2</v>
      </c>
      <c r="AH44">
        <v>12</v>
      </c>
      <c r="AI44">
        <v>0</v>
      </c>
      <c r="AJ44" s="22">
        <v>2.6</v>
      </c>
      <c r="AK44" s="22"/>
      <c r="BD44" s="7"/>
      <c r="BE44" s="19"/>
      <c r="BF44" s="19"/>
      <c r="BG44" s="22">
        <v>2.6</v>
      </c>
      <c r="BP44" s="33"/>
      <c r="BS44" s="20"/>
      <c r="BW44" s="44">
        <v>234.00000000000003</v>
      </c>
      <c r="BX44" s="44">
        <v>31.200000000000003</v>
      </c>
      <c r="CJ44">
        <v>1457</v>
      </c>
      <c r="CK44" s="2" t="s">
        <v>585</v>
      </c>
    </row>
    <row r="46" spans="1:89" ht="12.75">
      <c r="A46" s="18">
        <v>1457</v>
      </c>
      <c r="B46" s="14" t="s">
        <v>1239</v>
      </c>
      <c r="C46" s="14" t="s">
        <v>644</v>
      </c>
      <c r="D46" s="14" t="s">
        <v>225</v>
      </c>
      <c r="E46" s="14" t="s">
        <v>41</v>
      </c>
      <c r="F46" s="32" t="s">
        <v>154</v>
      </c>
      <c r="G46" s="2"/>
      <c r="H46" s="2" t="s">
        <v>537</v>
      </c>
      <c r="I46" s="2" t="s">
        <v>987</v>
      </c>
      <c r="J46" s="14" t="s">
        <v>415</v>
      </c>
      <c r="K46" s="2" t="s">
        <v>585</v>
      </c>
      <c r="L46" s="14" t="s">
        <v>509</v>
      </c>
      <c r="M46" s="14" t="s">
        <v>906</v>
      </c>
      <c r="N46" s="2" t="s">
        <v>1660</v>
      </c>
      <c r="O46" s="10">
        <v>9</v>
      </c>
      <c r="P46" s="10"/>
      <c r="Q46" s="10"/>
      <c r="R46" s="9"/>
      <c r="S46" s="9"/>
      <c r="T46" s="9"/>
      <c r="U46" s="44">
        <v>729</v>
      </c>
      <c r="V46" s="44">
        <v>81</v>
      </c>
      <c r="W46" s="22"/>
      <c r="X46" s="22">
        <v>6.75</v>
      </c>
      <c r="AB46" s="44"/>
      <c r="AF46" s="22">
        <v>60.75</v>
      </c>
      <c r="AG46">
        <v>6</v>
      </c>
      <c r="AH46">
        <v>15</v>
      </c>
      <c r="AI46">
        <v>0</v>
      </c>
      <c r="AJ46" s="22">
        <v>6.75</v>
      </c>
      <c r="AK46" s="22"/>
      <c r="AL46" s="34"/>
      <c r="AM46" s="34"/>
      <c r="AN46" s="34"/>
      <c r="AO46" s="34"/>
      <c r="AP46" s="34"/>
      <c r="AQ46" s="34"/>
      <c r="AR46" s="34"/>
      <c r="AS46" s="34"/>
      <c r="AT46" s="34"/>
      <c r="AY46" s="7"/>
      <c r="BP46" s="33"/>
      <c r="BS46" s="20"/>
      <c r="BW46" s="44">
        <v>729</v>
      </c>
      <c r="BX46" s="44">
        <v>81</v>
      </c>
      <c r="CJ46">
        <v>1457</v>
      </c>
      <c r="CK46" s="2" t="s">
        <v>585</v>
      </c>
    </row>
    <row r="47" spans="1:89" ht="12.75">
      <c r="A47" s="18">
        <v>1457</v>
      </c>
      <c r="B47" s="14" t="s">
        <v>1239</v>
      </c>
      <c r="C47" s="14" t="s">
        <v>644</v>
      </c>
      <c r="D47" s="14" t="s">
        <v>225</v>
      </c>
      <c r="E47" s="14" t="s">
        <v>41</v>
      </c>
      <c r="F47" s="32" t="s">
        <v>155</v>
      </c>
      <c r="G47" s="2"/>
      <c r="H47" s="2" t="s">
        <v>537</v>
      </c>
      <c r="I47" s="2" t="s">
        <v>530</v>
      </c>
      <c r="J47" s="14" t="s">
        <v>415</v>
      </c>
      <c r="K47" s="2" t="s">
        <v>589</v>
      </c>
      <c r="L47" s="14" t="s">
        <v>507</v>
      </c>
      <c r="M47" s="14" t="s">
        <v>1109</v>
      </c>
      <c r="N47" s="2" t="s">
        <v>1660</v>
      </c>
      <c r="O47" s="10">
        <v>5</v>
      </c>
      <c r="P47" s="10"/>
      <c r="Q47" s="10"/>
      <c r="R47" s="9"/>
      <c r="S47" s="9"/>
      <c r="T47" s="9"/>
      <c r="U47" s="44">
        <v>420</v>
      </c>
      <c r="V47" s="44">
        <v>84</v>
      </c>
      <c r="W47" s="22"/>
      <c r="X47" s="22">
        <v>7</v>
      </c>
      <c r="AB47" s="44"/>
      <c r="AF47" s="22">
        <v>35</v>
      </c>
      <c r="AG47">
        <v>7</v>
      </c>
      <c r="AH47">
        <v>0</v>
      </c>
      <c r="AI47">
        <v>0</v>
      </c>
      <c r="AJ47" s="22">
        <v>7</v>
      </c>
      <c r="AK47" s="22"/>
      <c r="AL47" s="34"/>
      <c r="AM47" s="34"/>
      <c r="AN47" s="34"/>
      <c r="AO47" s="34"/>
      <c r="AP47" s="34"/>
      <c r="AQ47" s="34"/>
      <c r="AR47" s="34"/>
      <c r="AS47" s="34"/>
      <c r="AT47" s="34"/>
      <c r="AZ47" s="7"/>
      <c r="BP47" s="33"/>
      <c r="BS47" s="20"/>
      <c r="BW47" s="44">
        <v>420</v>
      </c>
      <c r="BX47" s="44">
        <v>84</v>
      </c>
      <c r="CJ47">
        <v>1457</v>
      </c>
      <c r="CK47" s="2" t="s">
        <v>589</v>
      </c>
    </row>
    <row r="49" spans="1:89" ht="12.75">
      <c r="A49" s="18">
        <v>1458</v>
      </c>
      <c r="B49" s="14" t="s">
        <v>1117</v>
      </c>
      <c r="C49" s="14" t="s">
        <v>644</v>
      </c>
      <c r="D49" s="14" t="s">
        <v>225</v>
      </c>
      <c r="E49" s="14" t="s">
        <v>42</v>
      </c>
      <c r="F49" s="32" t="s">
        <v>156</v>
      </c>
      <c r="G49" s="2">
        <v>1</v>
      </c>
      <c r="H49" s="2" t="s">
        <v>537</v>
      </c>
      <c r="I49" s="2" t="s">
        <v>823</v>
      </c>
      <c r="J49" s="14" t="s">
        <v>415</v>
      </c>
      <c r="K49" s="2" t="s">
        <v>558</v>
      </c>
      <c r="L49" s="14" t="s">
        <v>509</v>
      </c>
      <c r="M49" s="14" t="s">
        <v>5</v>
      </c>
      <c r="N49" s="2" t="s">
        <v>622</v>
      </c>
      <c r="O49" s="10">
        <v>28</v>
      </c>
      <c r="P49" s="10"/>
      <c r="Q49" s="10"/>
      <c r="R49" s="9"/>
      <c r="S49" s="9"/>
      <c r="T49" s="9"/>
      <c r="U49" s="44">
        <v>2352</v>
      </c>
      <c r="V49" s="44">
        <v>84</v>
      </c>
      <c r="W49" s="22"/>
      <c r="X49" s="22">
        <v>7</v>
      </c>
      <c r="AB49" s="44"/>
      <c r="AF49" s="22">
        <v>196</v>
      </c>
      <c r="AG49">
        <v>7</v>
      </c>
      <c r="AH49">
        <v>0</v>
      </c>
      <c r="AI49">
        <v>0</v>
      </c>
      <c r="AJ49" s="22">
        <v>7</v>
      </c>
      <c r="AK49" s="22"/>
      <c r="AL49" s="34"/>
      <c r="AM49" s="34"/>
      <c r="AN49" s="34"/>
      <c r="AO49" s="34"/>
      <c r="AP49" s="34"/>
      <c r="AQ49" s="34"/>
      <c r="AR49" s="34"/>
      <c r="AS49" s="34"/>
      <c r="AT49" s="34"/>
      <c r="BB49" s="7"/>
      <c r="BG49" s="22"/>
      <c r="BP49" s="33"/>
      <c r="BS49" s="20"/>
      <c r="BW49" s="44">
        <v>2352</v>
      </c>
      <c r="BX49" s="44">
        <v>84</v>
      </c>
      <c r="CJ49">
        <v>1458</v>
      </c>
      <c r="CK49" s="2" t="s">
        <v>558</v>
      </c>
    </row>
    <row r="50" spans="1:89" ht="12.75">
      <c r="A50" s="18">
        <v>1458</v>
      </c>
      <c r="B50" s="14" t="s">
        <v>1117</v>
      </c>
      <c r="C50" s="14" t="s">
        <v>644</v>
      </c>
      <c r="D50" s="14" t="s">
        <v>225</v>
      </c>
      <c r="E50" s="14" t="s">
        <v>42</v>
      </c>
      <c r="F50" s="32" t="s">
        <v>158</v>
      </c>
      <c r="G50" s="2">
        <v>1</v>
      </c>
      <c r="H50" s="2" t="s">
        <v>537</v>
      </c>
      <c r="I50" s="2" t="s">
        <v>871</v>
      </c>
      <c r="J50" s="14" t="s">
        <v>415</v>
      </c>
      <c r="K50" s="2" t="s">
        <v>577</v>
      </c>
      <c r="L50" s="14" t="s">
        <v>509</v>
      </c>
      <c r="M50" s="14" t="s">
        <v>1636</v>
      </c>
      <c r="N50" s="2" t="s">
        <v>1609</v>
      </c>
      <c r="O50" s="10">
        <v>1</v>
      </c>
      <c r="P50" s="10"/>
      <c r="Q50" s="10"/>
      <c r="R50" s="9"/>
      <c r="S50" s="9"/>
      <c r="T50" s="9"/>
      <c r="U50" s="44">
        <v>96</v>
      </c>
      <c r="V50" s="44">
        <v>96</v>
      </c>
      <c r="W50" s="22"/>
      <c r="X50" s="22">
        <v>8</v>
      </c>
      <c r="AB50" s="44"/>
      <c r="AC50">
        <v>8</v>
      </c>
      <c r="AD50">
        <v>0</v>
      </c>
      <c r="AE50">
        <v>0</v>
      </c>
      <c r="AF50" s="22">
        <v>8</v>
      </c>
      <c r="AG50">
        <v>8</v>
      </c>
      <c r="AH50">
        <v>0</v>
      </c>
      <c r="AI50">
        <v>0</v>
      </c>
      <c r="AJ50" s="22">
        <v>8</v>
      </c>
      <c r="AK50" s="22"/>
      <c r="AL50" s="34"/>
      <c r="AM50" s="34"/>
      <c r="AN50" s="34"/>
      <c r="AO50" s="34"/>
      <c r="AP50" s="34"/>
      <c r="AQ50" s="34"/>
      <c r="AR50" s="34"/>
      <c r="AS50" s="34"/>
      <c r="AT50" s="34"/>
      <c r="BG50" s="7"/>
      <c r="BP50" s="33"/>
      <c r="BS50" s="20"/>
      <c r="BW50" s="44">
        <v>96</v>
      </c>
      <c r="BX50" s="44">
        <v>96</v>
      </c>
      <c r="CJ50">
        <v>1458</v>
      </c>
      <c r="CK50" s="2" t="s">
        <v>577</v>
      </c>
    </row>
    <row r="52" spans="1:89" ht="12.75">
      <c r="A52" s="18">
        <v>1458</v>
      </c>
      <c r="B52" s="14" t="s">
        <v>1239</v>
      </c>
      <c r="C52" s="14" t="s">
        <v>644</v>
      </c>
      <c r="D52" s="14" t="s">
        <v>226</v>
      </c>
      <c r="E52" s="14" t="s">
        <v>31</v>
      </c>
      <c r="F52" s="32" t="s">
        <v>164</v>
      </c>
      <c r="G52" s="2"/>
      <c r="H52" s="2" t="s">
        <v>537</v>
      </c>
      <c r="I52" s="2" t="s">
        <v>823</v>
      </c>
      <c r="J52" s="14" t="s">
        <v>415</v>
      </c>
      <c r="K52" s="2" t="s">
        <v>558</v>
      </c>
      <c r="L52" s="14" t="s">
        <v>509</v>
      </c>
      <c r="M52" s="14" t="s">
        <v>5</v>
      </c>
      <c r="N52" s="2" t="s">
        <v>1660</v>
      </c>
      <c r="O52" s="10">
        <v>14</v>
      </c>
      <c r="P52" s="10"/>
      <c r="Q52" s="10"/>
      <c r="R52" s="9"/>
      <c r="S52" s="9"/>
      <c r="T52" s="9"/>
      <c r="U52" s="44">
        <v>1092</v>
      </c>
      <c r="V52" s="44">
        <v>78</v>
      </c>
      <c r="W52" s="22"/>
      <c r="X52" s="22">
        <v>6.5</v>
      </c>
      <c r="AB52" s="44"/>
      <c r="AF52" s="22">
        <v>91</v>
      </c>
      <c r="AG52">
        <v>6</v>
      </c>
      <c r="AH52">
        <v>10</v>
      </c>
      <c r="AI52">
        <v>0</v>
      </c>
      <c r="AJ52" s="22">
        <v>6.5</v>
      </c>
      <c r="AK52" s="22"/>
      <c r="BG52" s="7"/>
      <c r="BP52" s="33"/>
      <c r="BS52" s="20"/>
      <c r="BW52" s="44">
        <v>1092</v>
      </c>
      <c r="BX52" s="44">
        <v>78</v>
      </c>
      <c r="CJ52">
        <v>1458</v>
      </c>
      <c r="CK52" s="2" t="s">
        <v>558</v>
      </c>
    </row>
    <row r="53" spans="1:89" ht="12.75">
      <c r="A53" s="18">
        <v>1458</v>
      </c>
      <c r="B53" s="14" t="s">
        <v>1239</v>
      </c>
      <c r="C53" s="14" t="s">
        <v>644</v>
      </c>
      <c r="D53" s="14" t="s">
        <v>226</v>
      </c>
      <c r="E53" s="14" t="s">
        <v>31</v>
      </c>
      <c r="F53" s="32" t="s">
        <v>165</v>
      </c>
      <c r="G53" s="2"/>
      <c r="H53" s="2" t="s">
        <v>537</v>
      </c>
      <c r="I53" s="2" t="s">
        <v>977</v>
      </c>
      <c r="J53" s="14" t="s">
        <v>415</v>
      </c>
      <c r="K53" s="2" t="s">
        <v>585</v>
      </c>
      <c r="L53" s="14" t="s">
        <v>509</v>
      </c>
      <c r="M53" s="14" t="s">
        <v>906</v>
      </c>
      <c r="N53" s="2" t="s">
        <v>932</v>
      </c>
      <c r="O53" s="10">
        <v>2</v>
      </c>
      <c r="P53" s="10"/>
      <c r="Q53" s="10"/>
      <c r="R53" s="9"/>
      <c r="S53" s="9"/>
      <c r="T53" s="9"/>
      <c r="U53" s="44">
        <v>108</v>
      </c>
      <c r="V53" s="44">
        <v>54</v>
      </c>
      <c r="W53" s="22"/>
      <c r="X53" s="22">
        <v>4.5</v>
      </c>
      <c r="AB53" s="44"/>
      <c r="AF53" s="22">
        <v>9</v>
      </c>
      <c r="AG53">
        <v>4</v>
      </c>
      <c r="AH53">
        <v>10</v>
      </c>
      <c r="AI53">
        <v>0</v>
      </c>
      <c r="AJ53" s="22">
        <v>4.5</v>
      </c>
      <c r="AK53" s="22"/>
      <c r="AW53" s="7"/>
      <c r="BG53" s="22">
        <v>4.5</v>
      </c>
      <c r="BP53" s="33"/>
      <c r="BS53" s="20"/>
      <c r="BW53" s="44">
        <v>108</v>
      </c>
      <c r="BX53" s="44">
        <v>54</v>
      </c>
      <c r="CJ53">
        <v>1458</v>
      </c>
      <c r="CK53" s="2" t="s">
        <v>585</v>
      </c>
    </row>
    <row r="54" spans="49:68" ht="12.75">
      <c r="AW54" s="19"/>
      <c r="BP54" s="19"/>
    </row>
    <row r="55" spans="1:89" ht="12.75">
      <c r="A55" s="18">
        <v>1459</v>
      </c>
      <c r="B55" s="14" t="s">
        <v>1117</v>
      </c>
      <c r="C55" s="14" t="s">
        <v>644</v>
      </c>
      <c r="D55" s="14" t="s">
        <v>226</v>
      </c>
      <c r="E55" s="14" t="s">
        <v>32</v>
      </c>
      <c r="F55" s="32" t="s">
        <v>166</v>
      </c>
      <c r="G55" s="2">
        <v>1</v>
      </c>
      <c r="H55" s="2" t="s">
        <v>537</v>
      </c>
      <c r="I55" s="2" t="s">
        <v>822</v>
      </c>
      <c r="J55" s="14" t="s">
        <v>415</v>
      </c>
      <c r="K55" s="2" t="s">
        <v>558</v>
      </c>
      <c r="L55" s="14" t="s">
        <v>509</v>
      </c>
      <c r="M55" s="14" t="s">
        <v>5</v>
      </c>
      <c r="N55" s="2" t="s">
        <v>618</v>
      </c>
      <c r="O55" s="10">
        <v>26</v>
      </c>
      <c r="P55" s="10"/>
      <c r="Q55" s="10"/>
      <c r="R55" s="9"/>
      <c r="S55" s="9"/>
      <c r="T55" s="9"/>
      <c r="U55" s="44">
        <v>2184</v>
      </c>
      <c r="V55" s="44">
        <v>84</v>
      </c>
      <c r="W55" s="22"/>
      <c r="X55" s="22">
        <v>7</v>
      </c>
      <c r="AB55" s="44"/>
      <c r="AF55" s="22">
        <v>182</v>
      </c>
      <c r="AG55">
        <v>7</v>
      </c>
      <c r="AH55">
        <v>0</v>
      </c>
      <c r="AI55">
        <v>0</v>
      </c>
      <c r="AJ55" s="22">
        <v>7</v>
      </c>
      <c r="AK55" s="22"/>
      <c r="AL55" s="34"/>
      <c r="AM55" s="34"/>
      <c r="AN55" s="34"/>
      <c r="AO55" s="34"/>
      <c r="AP55" s="34"/>
      <c r="AQ55" s="34"/>
      <c r="AR55" s="34"/>
      <c r="AS55" s="34"/>
      <c r="AT55" s="34"/>
      <c r="AW55" s="7"/>
      <c r="BG55" s="22"/>
      <c r="BP55" s="33"/>
      <c r="BS55" s="20"/>
      <c r="BW55" s="44">
        <v>2184</v>
      </c>
      <c r="BX55" s="44">
        <v>84</v>
      </c>
      <c r="CJ55">
        <v>1459</v>
      </c>
      <c r="CK55" s="2" t="s">
        <v>558</v>
      </c>
    </row>
    <row r="56" spans="1:89" ht="12.75">
      <c r="A56" s="18">
        <v>1459</v>
      </c>
      <c r="B56" s="14" t="s">
        <v>1117</v>
      </c>
      <c r="C56" s="14" t="s">
        <v>644</v>
      </c>
      <c r="D56" s="14" t="s">
        <v>226</v>
      </c>
      <c r="E56" s="14" t="s">
        <v>32</v>
      </c>
      <c r="F56" s="32" t="s">
        <v>167</v>
      </c>
      <c r="G56" s="2">
        <v>1</v>
      </c>
      <c r="H56" s="2" t="s">
        <v>537</v>
      </c>
      <c r="I56" s="2" t="s">
        <v>864</v>
      </c>
      <c r="J56" s="14" t="s">
        <v>415</v>
      </c>
      <c r="K56" s="2" t="s">
        <v>571</v>
      </c>
      <c r="L56" s="14" t="s">
        <v>509</v>
      </c>
      <c r="M56" s="14" t="s">
        <v>1269</v>
      </c>
      <c r="N56" s="2" t="s">
        <v>933</v>
      </c>
      <c r="O56" s="10">
        <v>2</v>
      </c>
      <c r="P56" s="10"/>
      <c r="Q56" s="10"/>
      <c r="R56" s="9"/>
      <c r="S56" s="9"/>
      <c r="T56" s="9"/>
      <c r="U56" s="44">
        <v>168</v>
      </c>
      <c r="V56" s="44">
        <v>84</v>
      </c>
      <c r="W56" s="22"/>
      <c r="X56" s="22">
        <v>7</v>
      </c>
      <c r="AB56" s="44"/>
      <c r="AF56" s="22">
        <v>14</v>
      </c>
      <c r="AG56">
        <v>7</v>
      </c>
      <c r="AH56">
        <v>0</v>
      </c>
      <c r="AI56">
        <v>0</v>
      </c>
      <c r="AJ56" s="22">
        <v>7</v>
      </c>
      <c r="AK56" s="22"/>
      <c r="AL56" s="34"/>
      <c r="AM56" s="34"/>
      <c r="AN56" s="34"/>
      <c r="AO56" s="34"/>
      <c r="AP56" s="34"/>
      <c r="AQ56" s="34"/>
      <c r="AR56" s="34"/>
      <c r="AS56" s="34"/>
      <c r="AT56" s="34"/>
      <c r="BG56" s="22">
        <v>7</v>
      </c>
      <c r="BP56" s="33"/>
      <c r="BS56" s="20"/>
      <c r="BW56" s="44">
        <v>168</v>
      </c>
      <c r="BX56" s="44">
        <v>84</v>
      </c>
      <c r="CJ56">
        <v>1459</v>
      </c>
      <c r="CK56" s="2" t="s">
        <v>571</v>
      </c>
    </row>
    <row r="58" spans="1:89" ht="12.75">
      <c r="A58" s="18">
        <v>1459</v>
      </c>
      <c r="B58" s="14" t="s">
        <v>1239</v>
      </c>
      <c r="C58" s="14" t="s">
        <v>644</v>
      </c>
      <c r="D58" s="14" t="s">
        <v>227</v>
      </c>
      <c r="E58" s="14" t="s">
        <v>29</v>
      </c>
      <c r="F58" s="32" t="s">
        <v>179</v>
      </c>
      <c r="G58" s="2"/>
      <c r="H58" s="2" t="s">
        <v>537</v>
      </c>
      <c r="I58" s="2" t="s">
        <v>829</v>
      </c>
      <c r="J58" s="14" t="s">
        <v>415</v>
      </c>
      <c r="K58" s="2" t="s">
        <v>575</v>
      </c>
      <c r="L58" s="14" t="s">
        <v>509</v>
      </c>
      <c r="M58" s="14" t="s">
        <v>1611</v>
      </c>
      <c r="N58" s="2" t="s">
        <v>1660</v>
      </c>
      <c r="O58" s="10">
        <v>5</v>
      </c>
      <c r="P58" s="10"/>
      <c r="Q58" s="10"/>
      <c r="R58" s="9"/>
      <c r="S58" s="9"/>
      <c r="T58" s="9"/>
      <c r="U58" s="44">
        <v>450</v>
      </c>
      <c r="V58" s="44">
        <v>90</v>
      </c>
      <c r="W58" s="22"/>
      <c r="X58" s="22">
        <v>7.5</v>
      </c>
      <c r="AB58" s="44"/>
      <c r="AF58" s="22">
        <v>37.5</v>
      </c>
      <c r="AG58">
        <v>7</v>
      </c>
      <c r="AH58">
        <v>10</v>
      </c>
      <c r="AI58">
        <v>0</v>
      </c>
      <c r="AJ58" s="22">
        <v>7.5</v>
      </c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BS58" s="20"/>
      <c r="BW58" s="44">
        <v>450</v>
      </c>
      <c r="BX58" s="44">
        <v>90</v>
      </c>
      <c r="CJ58">
        <v>1459</v>
      </c>
      <c r="CK58" s="2" t="s">
        <v>575</v>
      </c>
    </row>
    <row r="60" spans="1:89" ht="12.75">
      <c r="A60" s="18">
        <v>1460</v>
      </c>
      <c r="B60" s="14" t="s">
        <v>1117</v>
      </c>
      <c r="C60" s="14" t="s">
        <v>644</v>
      </c>
      <c r="D60" s="14" t="s">
        <v>227</v>
      </c>
      <c r="E60" s="14" t="s">
        <v>30</v>
      </c>
      <c r="F60" s="32" t="s">
        <v>180</v>
      </c>
      <c r="G60" s="2">
        <v>1</v>
      </c>
      <c r="H60" s="2" t="s">
        <v>537</v>
      </c>
      <c r="I60" s="2" t="s">
        <v>487</v>
      </c>
      <c r="J60" s="14" t="s">
        <v>415</v>
      </c>
      <c r="K60" s="2" t="s">
        <v>549</v>
      </c>
      <c r="L60" s="14" t="s">
        <v>509</v>
      </c>
      <c r="M60" s="14" t="s">
        <v>416</v>
      </c>
      <c r="N60" s="2" t="s">
        <v>618</v>
      </c>
      <c r="O60" s="10">
        <v>5</v>
      </c>
      <c r="P60" s="10"/>
      <c r="Q60" s="10"/>
      <c r="R60" s="9"/>
      <c r="S60" s="9"/>
      <c r="T60" s="9"/>
      <c r="U60" s="44">
        <v>360</v>
      </c>
      <c r="V60" s="44">
        <v>72</v>
      </c>
      <c r="X60" s="22">
        <v>6</v>
      </c>
      <c r="AB60" s="44"/>
      <c r="AF60" s="22">
        <v>30</v>
      </c>
      <c r="AG60">
        <v>6</v>
      </c>
      <c r="AH60">
        <v>0</v>
      </c>
      <c r="AI60">
        <v>0</v>
      </c>
      <c r="AJ60" s="22">
        <v>6</v>
      </c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W60" s="7"/>
      <c r="BD60" s="7"/>
      <c r="BE60" s="19"/>
      <c r="BF60" s="19"/>
      <c r="BP60" s="33"/>
      <c r="BS60" s="20"/>
      <c r="BW60" s="44">
        <v>360</v>
      </c>
      <c r="BX60" s="44">
        <v>72</v>
      </c>
      <c r="CJ60">
        <v>1460</v>
      </c>
      <c r="CK60" s="2" t="s">
        <v>549</v>
      </c>
    </row>
    <row r="61" spans="1:89" ht="12.75">
      <c r="A61" s="18">
        <v>1460</v>
      </c>
      <c r="B61" s="14" t="s">
        <v>1117</v>
      </c>
      <c r="C61" s="14" t="s">
        <v>644</v>
      </c>
      <c r="D61" s="14" t="s">
        <v>227</v>
      </c>
      <c r="E61" s="14" t="s">
        <v>30</v>
      </c>
      <c r="F61" s="32" t="s">
        <v>181</v>
      </c>
      <c r="G61" s="2">
        <v>1</v>
      </c>
      <c r="H61" s="2" t="s">
        <v>537</v>
      </c>
      <c r="I61" s="2" t="s">
        <v>978</v>
      </c>
      <c r="J61" s="14" t="s">
        <v>415</v>
      </c>
      <c r="K61" s="2" t="s">
        <v>568</v>
      </c>
      <c r="L61" s="14" t="s">
        <v>509</v>
      </c>
      <c r="M61" s="14" t="s">
        <v>906</v>
      </c>
      <c r="N61" s="2" t="s">
        <v>618</v>
      </c>
      <c r="O61" s="10">
        <v>5</v>
      </c>
      <c r="P61" s="10"/>
      <c r="Q61" s="10"/>
      <c r="R61" s="9"/>
      <c r="S61" s="9"/>
      <c r="T61" s="9"/>
      <c r="U61" s="44">
        <v>375</v>
      </c>
      <c r="V61" s="44">
        <v>75</v>
      </c>
      <c r="X61" s="22">
        <v>6.25</v>
      </c>
      <c r="AB61" s="44"/>
      <c r="AF61" s="22">
        <v>31.25</v>
      </c>
      <c r="AG61">
        <v>6</v>
      </c>
      <c r="AH61">
        <v>5</v>
      </c>
      <c r="AI61">
        <v>0</v>
      </c>
      <c r="AJ61" s="22">
        <v>6.25</v>
      </c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BP61" s="33"/>
      <c r="BS61" s="20"/>
      <c r="BW61" s="44">
        <v>375</v>
      </c>
      <c r="BX61" s="44">
        <v>75</v>
      </c>
      <c r="CJ61">
        <v>1460</v>
      </c>
      <c r="CK61" s="2" t="s">
        <v>568</v>
      </c>
    </row>
    <row r="62" spans="1:89" ht="12.75">
      <c r="A62" s="18">
        <v>1460</v>
      </c>
      <c r="B62" s="14" t="s">
        <v>1117</v>
      </c>
      <c r="C62" s="14" t="s">
        <v>644</v>
      </c>
      <c r="D62" s="14" t="s">
        <v>227</v>
      </c>
      <c r="E62" s="14" t="s">
        <v>30</v>
      </c>
      <c r="F62" s="32" t="s">
        <v>182</v>
      </c>
      <c r="G62" s="2">
        <v>1</v>
      </c>
      <c r="H62" s="2" t="s">
        <v>537</v>
      </c>
      <c r="I62" s="2" t="s">
        <v>961</v>
      </c>
      <c r="J62" s="14" t="s">
        <v>415</v>
      </c>
      <c r="K62" s="2" t="s">
        <v>549</v>
      </c>
      <c r="L62" s="14" t="s">
        <v>509</v>
      </c>
      <c r="M62" s="14" t="s">
        <v>416</v>
      </c>
      <c r="N62" s="2" t="s">
        <v>1281</v>
      </c>
      <c r="O62" s="10">
        <v>4</v>
      </c>
      <c r="P62" s="10"/>
      <c r="Q62" s="10"/>
      <c r="R62" s="9"/>
      <c r="S62" s="9"/>
      <c r="T62" s="9"/>
      <c r="U62" s="44">
        <v>316.79999999999995</v>
      </c>
      <c r="V62" s="44">
        <v>79.19999999999999</v>
      </c>
      <c r="X62" s="22">
        <v>6.6</v>
      </c>
      <c r="AB62" s="44"/>
      <c r="AF62" s="22">
        <v>26.4</v>
      </c>
      <c r="AG62">
        <v>6</v>
      </c>
      <c r="AH62">
        <v>12</v>
      </c>
      <c r="AI62">
        <v>0</v>
      </c>
      <c r="AJ62" s="22">
        <v>6.6</v>
      </c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X62" s="22">
        <v>6.6</v>
      </c>
      <c r="BG62" s="22">
        <v>6.6</v>
      </c>
      <c r="BP62" s="33"/>
      <c r="BS62" s="20"/>
      <c r="BW62" s="44">
        <v>316.79999999999995</v>
      </c>
      <c r="BX62" s="44">
        <v>79.19999999999999</v>
      </c>
      <c r="CJ62">
        <v>1460</v>
      </c>
      <c r="CK62" s="2" t="s">
        <v>549</v>
      </c>
    </row>
    <row r="63" spans="1:89" ht="12.75">
      <c r="A63" s="18">
        <v>1460</v>
      </c>
      <c r="B63" s="14" t="s">
        <v>1117</v>
      </c>
      <c r="C63" s="14" t="s">
        <v>644</v>
      </c>
      <c r="D63" s="14" t="s">
        <v>227</v>
      </c>
      <c r="E63" s="14" t="s">
        <v>30</v>
      </c>
      <c r="F63" s="32" t="s">
        <v>183</v>
      </c>
      <c r="G63" s="2">
        <v>1</v>
      </c>
      <c r="H63" s="2" t="s">
        <v>537</v>
      </c>
      <c r="I63" s="2" t="s">
        <v>880</v>
      </c>
      <c r="J63" s="14" t="s">
        <v>415</v>
      </c>
      <c r="K63" s="2" t="s">
        <v>548</v>
      </c>
      <c r="L63" s="14" t="s">
        <v>509</v>
      </c>
      <c r="M63" s="14" t="s">
        <v>437</v>
      </c>
      <c r="N63" s="2" t="s">
        <v>931</v>
      </c>
      <c r="O63" s="10">
        <v>2</v>
      </c>
      <c r="P63" s="10"/>
      <c r="Q63" s="10"/>
      <c r="R63" s="9"/>
      <c r="S63" s="9"/>
      <c r="T63" s="9"/>
      <c r="U63" s="44">
        <v>156</v>
      </c>
      <c r="V63" s="44">
        <v>78</v>
      </c>
      <c r="X63" s="22">
        <v>6.5</v>
      </c>
      <c r="AB63" s="44"/>
      <c r="AF63" s="22">
        <v>13</v>
      </c>
      <c r="AG63">
        <v>6</v>
      </c>
      <c r="AH63">
        <v>10</v>
      </c>
      <c r="AI63">
        <v>0</v>
      </c>
      <c r="AJ63" s="22">
        <v>6.5</v>
      </c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BG63" s="22">
        <v>6.5</v>
      </c>
      <c r="BP63" s="33"/>
      <c r="BS63" s="20"/>
      <c r="BW63" s="44">
        <v>156</v>
      </c>
      <c r="BX63" s="44">
        <v>78</v>
      </c>
      <c r="CJ63">
        <v>1460</v>
      </c>
      <c r="CK63" s="2" t="s">
        <v>548</v>
      </c>
    </row>
    <row r="64" spans="1:89" ht="12.75">
      <c r="A64" s="18">
        <v>1460</v>
      </c>
      <c r="B64" s="14" t="s">
        <v>1117</v>
      </c>
      <c r="C64" s="14" t="s">
        <v>644</v>
      </c>
      <c r="D64" s="14" t="s">
        <v>227</v>
      </c>
      <c r="E64" s="14" t="s">
        <v>30</v>
      </c>
      <c r="F64" s="32" t="s">
        <v>185</v>
      </c>
      <c r="G64" s="2">
        <v>1</v>
      </c>
      <c r="H64" s="2" t="s">
        <v>537</v>
      </c>
      <c r="I64" s="2" t="s">
        <v>535</v>
      </c>
      <c r="J64" s="14" t="s">
        <v>415</v>
      </c>
      <c r="K64" s="2" t="s">
        <v>542</v>
      </c>
      <c r="L64" s="14" t="s">
        <v>509</v>
      </c>
      <c r="M64" s="14" t="s">
        <v>437</v>
      </c>
      <c r="N64" s="2" t="s">
        <v>1513</v>
      </c>
      <c r="O64" s="10">
        <v>3.5</v>
      </c>
      <c r="P64" s="10"/>
      <c r="Q64" s="10"/>
      <c r="R64" s="9"/>
      <c r="S64" s="9"/>
      <c r="T64" s="9"/>
      <c r="U64" s="44">
        <v>121.79999999999998</v>
      </c>
      <c r="V64" s="44">
        <v>34.8</v>
      </c>
      <c r="X64" s="22">
        <v>2.9</v>
      </c>
      <c r="AB64" s="44"/>
      <c r="AC64">
        <v>10</v>
      </c>
      <c r="AD64">
        <v>3</v>
      </c>
      <c r="AE64">
        <v>0</v>
      </c>
      <c r="AF64" s="22">
        <v>10.15</v>
      </c>
      <c r="AG64">
        <v>2</v>
      </c>
      <c r="AH64">
        <v>18</v>
      </c>
      <c r="AI64">
        <v>0</v>
      </c>
      <c r="AJ64" s="22">
        <v>2.9</v>
      </c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BC64" s="7"/>
      <c r="BD64" s="22">
        <v>2.9</v>
      </c>
      <c r="BG64" s="22">
        <v>2.9</v>
      </c>
      <c r="BP64" s="33"/>
      <c r="BS64" s="20"/>
      <c r="BW64" s="44">
        <v>121.79999999999998</v>
      </c>
      <c r="BX64" s="44">
        <v>34.8</v>
      </c>
      <c r="CJ64">
        <v>1460</v>
      </c>
      <c r="CK64" s="2" t="s">
        <v>542</v>
      </c>
    </row>
    <row r="65" spans="1:89" ht="12.75">
      <c r="A65" s="18">
        <v>1460</v>
      </c>
      <c r="B65" s="14" t="s">
        <v>1117</v>
      </c>
      <c r="C65" s="14" t="s">
        <v>644</v>
      </c>
      <c r="D65" s="14" t="s">
        <v>227</v>
      </c>
      <c r="E65" s="14" t="s">
        <v>30</v>
      </c>
      <c r="F65" s="32" t="s">
        <v>186</v>
      </c>
      <c r="G65" s="2">
        <v>1</v>
      </c>
      <c r="H65" s="2" t="s">
        <v>537</v>
      </c>
      <c r="I65" s="2" t="s">
        <v>535</v>
      </c>
      <c r="J65" s="14" t="s">
        <v>415</v>
      </c>
      <c r="K65" s="2" t="s">
        <v>542</v>
      </c>
      <c r="L65" s="14" t="s">
        <v>509</v>
      </c>
      <c r="M65" s="14" t="s">
        <v>437</v>
      </c>
      <c r="N65" s="2" t="s">
        <v>1513</v>
      </c>
      <c r="O65" s="10">
        <v>4</v>
      </c>
      <c r="P65" s="10"/>
      <c r="Q65" s="10"/>
      <c r="R65" s="9"/>
      <c r="S65" s="9"/>
      <c r="T65" s="9"/>
      <c r="U65" s="44">
        <v>139.2</v>
      </c>
      <c r="V65" s="44">
        <v>34.8</v>
      </c>
      <c r="X65" s="22">
        <v>2.9</v>
      </c>
      <c r="AB65" s="44"/>
      <c r="AC65">
        <v>11</v>
      </c>
      <c r="AD65">
        <v>12</v>
      </c>
      <c r="AE65">
        <v>0</v>
      </c>
      <c r="AF65" s="22">
        <v>11.6</v>
      </c>
      <c r="AG65">
        <v>2</v>
      </c>
      <c r="AH65">
        <v>18</v>
      </c>
      <c r="AI65">
        <v>0</v>
      </c>
      <c r="AJ65" s="22">
        <v>2.9</v>
      </c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BD65" s="22">
        <v>2.9</v>
      </c>
      <c r="BG65" s="22">
        <v>2.9</v>
      </c>
      <c r="BP65" s="33"/>
      <c r="BS65" s="20"/>
      <c r="BW65" s="44">
        <v>139.2</v>
      </c>
      <c r="BX65" s="44">
        <v>34.8</v>
      </c>
      <c r="CJ65">
        <v>1460</v>
      </c>
      <c r="CK65" s="2" t="s">
        <v>542</v>
      </c>
    </row>
    <row r="67" spans="1:89" ht="12.75">
      <c r="A67" s="18">
        <v>1460</v>
      </c>
      <c r="B67" s="14" t="s">
        <v>1117</v>
      </c>
      <c r="C67" s="14" t="s">
        <v>644</v>
      </c>
      <c r="D67" s="14" t="s">
        <v>227</v>
      </c>
      <c r="E67" s="14" t="s">
        <v>30</v>
      </c>
      <c r="F67" s="32" t="s">
        <v>187</v>
      </c>
      <c r="G67" s="2">
        <v>2</v>
      </c>
      <c r="H67" t="s">
        <v>537</v>
      </c>
      <c r="I67" t="s">
        <v>531</v>
      </c>
      <c r="J67" s="14" t="s">
        <v>415</v>
      </c>
      <c r="K67" s="2" t="s">
        <v>590</v>
      </c>
      <c r="L67" s="14" t="s">
        <v>509</v>
      </c>
      <c r="M67" s="14" t="s">
        <v>1350</v>
      </c>
      <c r="N67" s="2" t="s">
        <v>920</v>
      </c>
      <c r="O67" s="10">
        <v>7</v>
      </c>
      <c r="P67" s="10"/>
      <c r="Q67" s="10"/>
      <c r="R67" s="9"/>
      <c r="S67" s="9"/>
      <c r="T67" s="9"/>
      <c r="U67" s="44">
        <v>243.59999999999997</v>
      </c>
      <c r="V67" s="44">
        <v>34.8</v>
      </c>
      <c r="X67" s="22">
        <v>2.9</v>
      </c>
      <c r="AF67" s="22">
        <v>20.3</v>
      </c>
      <c r="AG67">
        <v>2</v>
      </c>
      <c r="AH67">
        <v>18</v>
      </c>
      <c r="AI67">
        <v>0</v>
      </c>
      <c r="AJ67" s="22">
        <v>2.9</v>
      </c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BG67" s="22">
        <v>2.9</v>
      </c>
      <c r="BS67" s="20"/>
      <c r="BW67" s="44">
        <v>243.59999999999997</v>
      </c>
      <c r="BX67" s="44">
        <v>34.8</v>
      </c>
      <c r="CJ67">
        <v>1460</v>
      </c>
      <c r="CK67" s="2" t="s">
        <v>590</v>
      </c>
    </row>
    <row r="69" spans="1:89" ht="12.75">
      <c r="A69" s="18">
        <v>1460</v>
      </c>
      <c r="B69" s="14" t="s">
        <v>1239</v>
      </c>
      <c r="C69" s="14" t="s">
        <v>644</v>
      </c>
      <c r="D69" s="14" t="s">
        <v>228</v>
      </c>
      <c r="E69" s="14" t="s">
        <v>36</v>
      </c>
      <c r="F69" s="32" t="s">
        <v>191</v>
      </c>
      <c r="G69" s="2"/>
      <c r="H69" s="2" t="s">
        <v>537</v>
      </c>
      <c r="I69" s="2" t="s">
        <v>822</v>
      </c>
      <c r="J69" s="14" t="s">
        <v>415</v>
      </c>
      <c r="K69" s="2" t="s">
        <v>558</v>
      </c>
      <c r="L69" s="14" t="s">
        <v>509</v>
      </c>
      <c r="M69" s="14" t="s">
        <v>5</v>
      </c>
      <c r="N69" s="2" t="s">
        <v>1660</v>
      </c>
      <c r="O69" s="10">
        <v>5</v>
      </c>
      <c r="P69" s="10"/>
      <c r="Q69" s="10"/>
      <c r="R69" s="9"/>
      <c r="S69" s="9"/>
      <c r="T69" s="9"/>
      <c r="U69" s="44">
        <v>360</v>
      </c>
      <c r="V69" s="44">
        <v>72</v>
      </c>
      <c r="W69" s="22"/>
      <c r="X69" s="22">
        <v>6</v>
      </c>
      <c r="AB69" s="44"/>
      <c r="AC69">
        <v>30</v>
      </c>
      <c r="AD69">
        <v>0</v>
      </c>
      <c r="AE69">
        <v>0</v>
      </c>
      <c r="AF69" s="22">
        <v>30</v>
      </c>
      <c r="AG69">
        <v>6</v>
      </c>
      <c r="AH69">
        <v>0</v>
      </c>
      <c r="AI69">
        <v>0</v>
      </c>
      <c r="AJ69" s="22">
        <v>6</v>
      </c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BG69" s="7"/>
      <c r="BP69" s="33"/>
      <c r="BS69" s="20"/>
      <c r="BW69" s="44">
        <v>360</v>
      </c>
      <c r="BX69" s="44">
        <v>72</v>
      </c>
      <c r="CJ69">
        <v>1460</v>
      </c>
      <c r="CK69" s="2" t="s">
        <v>558</v>
      </c>
    </row>
    <row r="70" spans="1:89" ht="12.75">
      <c r="A70" s="18">
        <v>1460</v>
      </c>
      <c r="B70" s="14" t="s">
        <v>1239</v>
      </c>
      <c r="C70" s="14" t="s">
        <v>644</v>
      </c>
      <c r="D70" s="14" t="s">
        <v>228</v>
      </c>
      <c r="E70" s="14" t="s">
        <v>36</v>
      </c>
      <c r="F70" s="32" t="s">
        <v>192</v>
      </c>
      <c r="G70" s="2"/>
      <c r="H70" s="2" t="s">
        <v>537</v>
      </c>
      <c r="I70" s="2" t="s">
        <v>879</v>
      </c>
      <c r="J70" s="14" t="s">
        <v>415</v>
      </c>
      <c r="K70" s="2" t="s">
        <v>548</v>
      </c>
      <c r="L70" s="14" t="s">
        <v>509</v>
      </c>
      <c r="M70" s="14" t="s">
        <v>437</v>
      </c>
      <c r="N70" s="2" t="s">
        <v>1660</v>
      </c>
      <c r="O70" s="10">
        <v>6</v>
      </c>
      <c r="P70" s="10"/>
      <c r="Q70" s="10"/>
      <c r="R70" s="9"/>
      <c r="S70" s="9"/>
      <c r="T70" s="9"/>
      <c r="U70" s="44">
        <v>504</v>
      </c>
      <c r="V70" s="44">
        <v>84</v>
      </c>
      <c r="W70" s="22"/>
      <c r="X70" s="22">
        <v>7</v>
      </c>
      <c r="AB70" s="44"/>
      <c r="AF70" s="22">
        <v>42</v>
      </c>
      <c r="AG70">
        <v>7</v>
      </c>
      <c r="AH70">
        <v>0</v>
      </c>
      <c r="AI70">
        <v>0</v>
      </c>
      <c r="AJ70" s="22">
        <v>7</v>
      </c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BG70" s="7"/>
      <c r="BP70" s="33"/>
      <c r="BS70" s="20"/>
      <c r="BW70" s="44">
        <v>504</v>
      </c>
      <c r="BX70" s="44">
        <v>84</v>
      </c>
      <c r="CJ70">
        <v>1460</v>
      </c>
      <c r="CK70" s="2" t="s">
        <v>548</v>
      </c>
    </row>
    <row r="71" spans="1:89" ht="12.75">
      <c r="A71" s="18">
        <v>1460</v>
      </c>
      <c r="B71" s="14" t="s">
        <v>1239</v>
      </c>
      <c r="C71" s="14" t="s">
        <v>644</v>
      </c>
      <c r="D71" s="14" t="s">
        <v>228</v>
      </c>
      <c r="E71" s="14" t="s">
        <v>36</v>
      </c>
      <c r="F71" s="32" t="s">
        <v>193</v>
      </c>
      <c r="G71" s="2"/>
      <c r="H71" s="2" t="s">
        <v>537</v>
      </c>
      <c r="I71" s="2" t="s">
        <v>879</v>
      </c>
      <c r="J71" s="14" t="s">
        <v>415</v>
      </c>
      <c r="K71" s="2" t="s">
        <v>548</v>
      </c>
      <c r="L71" s="14" t="s">
        <v>509</v>
      </c>
      <c r="M71" s="14" t="s">
        <v>437</v>
      </c>
      <c r="N71" s="2" t="s">
        <v>1660</v>
      </c>
      <c r="O71" s="10">
        <v>2</v>
      </c>
      <c r="P71" s="10"/>
      <c r="Q71" s="10"/>
      <c r="R71" s="9"/>
      <c r="S71" s="9"/>
      <c r="T71" s="9"/>
      <c r="U71" s="44">
        <v>175.5</v>
      </c>
      <c r="V71" s="44">
        <v>87.75</v>
      </c>
      <c r="W71" s="22"/>
      <c r="X71" s="22">
        <v>7.3125</v>
      </c>
      <c r="AB71" s="44"/>
      <c r="AF71" s="22">
        <v>14.625</v>
      </c>
      <c r="AG71">
        <v>7</v>
      </c>
      <c r="AH71">
        <v>6</v>
      </c>
      <c r="AI71">
        <v>3</v>
      </c>
      <c r="AJ71" s="22">
        <v>7.3125</v>
      </c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BG71" s="7"/>
      <c r="BP71" s="33"/>
      <c r="BS71" s="20"/>
      <c r="BW71" s="44">
        <v>175.5</v>
      </c>
      <c r="BX71" s="44">
        <v>87.75</v>
      </c>
      <c r="CJ71">
        <v>1460</v>
      </c>
      <c r="CK71" s="2" t="s">
        <v>548</v>
      </c>
    </row>
    <row r="72" spans="1:89" ht="12.75">
      <c r="A72" s="18">
        <v>1460</v>
      </c>
      <c r="B72" s="14" t="s">
        <v>1239</v>
      </c>
      <c r="C72" s="14" t="s">
        <v>644</v>
      </c>
      <c r="D72" s="14" t="s">
        <v>228</v>
      </c>
      <c r="E72" s="14" t="s">
        <v>36</v>
      </c>
      <c r="F72" s="32" t="s">
        <v>194</v>
      </c>
      <c r="G72" s="2"/>
      <c r="H72" s="2" t="s">
        <v>537</v>
      </c>
      <c r="I72" s="2" t="s">
        <v>852</v>
      </c>
      <c r="J72" s="14" t="s">
        <v>415</v>
      </c>
      <c r="K72" s="2" t="s">
        <v>568</v>
      </c>
      <c r="L72" s="14" t="s">
        <v>509</v>
      </c>
      <c r="M72" s="14" t="s">
        <v>906</v>
      </c>
      <c r="N72" s="2" t="s">
        <v>931</v>
      </c>
      <c r="O72" s="10">
        <v>2</v>
      </c>
      <c r="P72" s="10"/>
      <c r="Q72" s="10"/>
      <c r="R72" s="9"/>
      <c r="S72" s="9"/>
      <c r="T72" s="9"/>
      <c r="U72" s="44">
        <v>144</v>
      </c>
      <c r="V72" s="44">
        <v>72</v>
      </c>
      <c r="W72" s="22"/>
      <c r="X72" s="22">
        <v>6</v>
      </c>
      <c r="AB72" s="44"/>
      <c r="AF72" s="22">
        <v>12</v>
      </c>
      <c r="AG72">
        <v>6</v>
      </c>
      <c r="AH72">
        <v>0</v>
      </c>
      <c r="AI72">
        <v>0</v>
      </c>
      <c r="AJ72" s="22">
        <v>6</v>
      </c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BG72" s="22">
        <v>6</v>
      </c>
      <c r="BP72" s="33"/>
      <c r="BS72" s="20"/>
      <c r="BW72" s="44">
        <v>144</v>
      </c>
      <c r="BX72" s="44">
        <v>72</v>
      </c>
      <c r="CJ72">
        <v>1460</v>
      </c>
      <c r="CK72" s="2" t="s">
        <v>568</v>
      </c>
    </row>
    <row r="74" spans="1:89" ht="12.75">
      <c r="A74" s="18">
        <v>1461</v>
      </c>
      <c r="B74" s="14" t="s">
        <v>1117</v>
      </c>
      <c r="C74" s="14" t="s">
        <v>644</v>
      </c>
      <c r="D74" s="14" t="s">
        <v>228</v>
      </c>
      <c r="E74" s="14" t="s">
        <v>37</v>
      </c>
      <c r="F74" s="32" t="s">
        <v>195</v>
      </c>
      <c r="G74" s="2">
        <v>1</v>
      </c>
      <c r="H74" s="2" t="s">
        <v>537</v>
      </c>
      <c r="I74" s="2" t="s">
        <v>833</v>
      </c>
      <c r="J74" s="14" t="s">
        <v>415</v>
      </c>
      <c r="K74" s="2" t="s">
        <v>560</v>
      </c>
      <c r="L74" s="14" t="s">
        <v>509</v>
      </c>
      <c r="M74" s="14" t="s">
        <v>434</v>
      </c>
      <c r="N74" s="2" t="s">
        <v>1660</v>
      </c>
      <c r="O74" s="10">
        <v>4</v>
      </c>
      <c r="P74" s="10"/>
      <c r="Q74" s="10"/>
      <c r="R74" s="9"/>
      <c r="S74" s="9"/>
      <c r="T74" s="9"/>
      <c r="U74" s="44">
        <v>456</v>
      </c>
      <c r="V74" s="44">
        <v>114</v>
      </c>
      <c r="X74" s="22">
        <v>9.5</v>
      </c>
      <c r="AB74" s="44"/>
      <c r="AF74" s="22">
        <v>38</v>
      </c>
      <c r="AG74">
        <v>9</v>
      </c>
      <c r="AH74">
        <v>10</v>
      </c>
      <c r="AI74">
        <v>0</v>
      </c>
      <c r="AJ74" s="22">
        <v>9.5</v>
      </c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W74" s="7"/>
      <c r="BC74" s="7"/>
      <c r="BD74" s="7"/>
      <c r="BE74" s="19"/>
      <c r="BF74" s="19"/>
      <c r="BG74" s="7"/>
      <c r="BP74" s="33"/>
      <c r="BS74" s="20"/>
      <c r="BW74" s="44">
        <v>456</v>
      </c>
      <c r="BX74" s="44">
        <v>114</v>
      </c>
      <c r="CJ74">
        <v>1461</v>
      </c>
      <c r="CK74" s="2" t="s">
        <v>560</v>
      </c>
    </row>
    <row r="75" spans="1:89" ht="12.75">
      <c r="A75" s="18">
        <v>1461</v>
      </c>
      <c r="B75" s="14" t="s">
        <v>1117</v>
      </c>
      <c r="C75" s="14" t="s">
        <v>644</v>
      </c>
      <c r="D75" s="14" t="s">
        <v>228</v>
      </c>
      <c r="E75" s="14" t="s">
        <v>37</v>
      </c>
      <c r="F75" s="32" t="s">
        <v>196</v>
      </c>
      <c r="G75" s="2">
        <v>1</v>
      </c>
      <c r="H75" s="2" t="s">
        <v>537</v>
      </c>
      <c r="I75" s="2" t="s">
        <v>834</v>
      </c>
      <c r="J75" s="14" t="s">
        <v>415</v>
      </c>
      <c r="K75" s="2" t="s">
        <v>560</v>
      </c>
      <c r="L75" s="14" t="s">
        <v>509</v>
      </c>
      <c r="M75" s="14" t="s">
        <v>434</v>
      </c>
      <c r="N75" s="2" t="s">
        <v>1660</v>
      </c>
      <c r="O75" s="10">
        <v>2</v>
      </c>
      <c r="P75" s="10"/>
      <c r="Q75" s="10"/>
      <c r="R75" s="9"/>
      <c r="S75" s="9"/>
      <c r="T75" s="9"/>
      <c r="U75" s="44">
        <v>168</v>
      </c>
      <c r="V75" s="44">
        <v>84</v>
      </c>
      <c r="X75" s="22">
        <v>7</v>
      </c>
      <c r="AB75" s="44"/>
      <c r="AF75" s="22">
        <v>14</v>
      </c>
      <c r="AG75">
        <v>7</v>
      </c>
      <c r="AH75">
        <v>0</v>
      </c>
      <c r="AI75">
        <v>0</v>
      </c>
      <c r="AJ75" s="22">
        <v>7</v>
      </c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W75" s="7"/>
      <c r="BC75" s="7"/>
      <c r="BD75" s="7"/>
      <c r="BE75" s="19"/>
      <c r="BF75" s="19"/>
      <c r="BG75" s="7"/>
      <c r="BP75" s="33"/>
      <c r="BS75" s="20"/>
      <c r="BW75" s="44">
        <v>168</v>
      </c>
      <c r="BX75" s="44">
        <v>84</v>
      </c>
      <c r="CJ75">
        <v>1461</v>
      </c>
      <c r="CK75" s="2" t="s">
        <v>560</v>
      </c>
    </row>
    <row r="76" spans="1:89" ht="12.75">
      <c r="A76" s="18">
        <v>1461</v>
      </c>
      <c r="B76" s="14" t="s">
        <v>1117</v>
      </c>
      <c r="C76" s="14" t="s">
        <v>644</v>
      </c>
      <c r="D76" s="14" t="s">
        <v>228</v>
      </c>
      <c r="E76" s="14" t="s">
        <v>37</v>
      </c>
      <c r="F76" s="32" t="s">
        <v>197</v>
      </c>
      <c r="G76" s="2">
        <v>1</v>
      </c>
      <c r="H76" s="2" t="s">
        <v>537</v>
      </c>
      <c r="I76" s="2" t="s">
        <v>729</v>
      </c>
      <c r="J76" s="14" t="s">
        <v>415</v>
      </c>
      <c r="K76" s="2" t="s">
        <v>562</v>
      </c>
      <c r="L76" s="14" t="s">
        <v>509</v>
      </c>
      <c r="M76" s="14" t="s">
        <v>904</v>
      </c>
      <c r="N76" s="2" t="s">
        <v>1660</v>
      </c>
      <c r="O76" s="10">
        <v>5</v>
      </c>
      <c r="P76" s="10"/>
      <c r="Q76" s="10"/>
      <c r="R76" s="9"/>
      <c r="S76" s="9"/>
      <c r="T76" s="9"/>
      <c r="U76" s="44">
        <v>414.00000000000006</v>
      </c>
      <c r="V76" s="44">
        <v>82.80000000000001</v>
      </c>
      <c r="X76" s="22">
        <v>6.9</v>
      </c>
      <c r="AB76" s="44"/>
      <c r="AF76" s="22">
        <v>34.5</v>
      </c>
      <c r="AG76">
        <v>6</v>
      </c>
      <c r="AH76">
        <v>18</v>
      </c>
      <c r="AI76">
        <v>0</v>
      </c>
      <c r="AJ76" s="22">
        <v>6.9</v>
      </c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W76" s="7"/>
      <c r="BC76" s="7"/>
      <c r="BD76" s="7"/>
      <c r="BE76" s="19"/>
      <c r="BF76" s="19"/>
      <c r="BG76" s="7"/>
      <c r="BP76" s="33"/>
      <c r="BS76" s="20"/>
      <c r="BW76" s="44">
        <v>414.00000000000006</v>
      </c>
      <c r="BX76" s="44">
        <v>82.80000000000001</v>
      </c>
      <c r="CJ76">
        <v>1461</v>
      </c>
      <c r="CK76" s="2" t="s">
        <v>562</v>
      </c>
    </row>
    <row r="77" spans="1:90" ht="12.75">
      <c r="A77" s="18">
        <v>1461</v>
      </c>
      <c r="B77" s="14" t="s">
        <v>1117</v>
      </c>
      <c r="C77" s="14" t="s">
        <v>644</v>
      </c>
      <c r="D77" s="14" t="s">
        <v>228</v>
      </c>
      <c r="E77" s="14" t="s">
        <v>37</v>
      </c>
      <c r="F77" s="32" t="s">
        <v>201</v>
      </c>
      <c r="G77" s="2">
        <v>1</v>
      </c>
      <c r="H77" s="2" t="s">
        <v>537</v>
      </c>
      <c r="I77" s="2" t="s">
        <v>1495</v>
      </c>
      <c r="J77" s="14" t="s">
        <v>1414</v>
      </c>
      <c r="K77" s="2" t="s">
        <v>593</v>
      </c>
      <c r="L77" s="14" t="s">
        <v>509</v>
      </c>
      <c r="M77" s="14" t="s">
        <v>906</v>
      </c>
      <c r="N77" s="2" t="s">
        <v>1449</v>
      </c>
      <c r="O77" s="10">
        <v>4</v>
      </c>
      <c r="P77" s="10"/>
      <c r="Q77" s="10"/>
      <c r="R77" s="9"/>
      <c r="S77" s="9"/>
      <c r="T77" s="9"/>
      <c r="U77" s="44">
        <v>158.39999999999998</v>
      </c>
      <c r="V77" s="44">
        <v>39.599999999999994</v>
      </c>
      <c r="X77" s="22">
        <v>3.3</v>
      </c>
      <c r="AB77" s="44"/>
      <c r="AF77" s="22">
        <v>13.2</v>
      </c>
      <c r="AG77">
        <v>3</v>
      </c>
      <c r="AH77">
        <v>6</v>
      </c>
      <c r="AI77">
        <v>0</v>
      </c>
      <c r="AJ77" s="22">
        <v>3.3</v>
      </c>
      <c r="AK77" s="34"/>
      <c r="AL77" s="22">
        <v>3.3</v>
      </c>
      <c r="AM77" s="34"/>
      <c r="AN77" s="34"/>
      <c r="AO77" s="34"/>
      <c r="AP77" s="34"/>
      <c r="AQ77" s="34"/>
      <c r="AR77" s="34"/>
      <c r="AS77" s="34"/>
      <c r="AT77" s="34"/>
      <c r="AW77" s="7"/>
      <c r="BC77" s="7"/>
      <c r="BD77" s="7"/>
      <c r="BE77" s="19"/>
      <c r="BF77" s="19"/>
      <c r="BG77" s="7"/>
      <c r="BP77" s="33"/>
      <c r="BS77" s="20"/>
      <c r="BW77" s="44">
        <v>158.39999999999998</v>
      </c>
      <c r="BX77" s="44">
        <v>39.599999999999994</v>
      </c>
      <c r="CJ77">
        <v>1461</v>
      </c>
      <c r="CK77" s="2" t="s">
        <v>593</v>
      </c>
      <c r="CL77" t="s">
        <v>1193</v>
      </c>
    </row>
    <row r="79" spans="1:89" ht="12.75">
      <c r="A79" s="18">
        <v>1461</v>
      </c>
      <c r="B79" s="14" t="s">
        <v>1239</v>
      </c>
      <c r="C79" s="14" t="s">
        <v>644</v>
      </c>
      <c r="D79" s="14" t="s">
        <v>229</v>
      </c>
      <c r="E79" s="14" t="s">
        <v>37</v>
      </c>
      <c r="F79" s="32" t="s">
        <v>204</v>
      </c>
      <c r="G79" s="2"/>
      <c r="H79" s="2" t="s">
        <v>537</v>
      </c>
      <c r="I79" s="2" t="s">
        <v>1733</v>
      </c>
      <c r="J79" s="14" t="s">
        <v>415</v>
      </c>
      <c r="K79" s="2" t="s">
        <v>548</v>
      </c>
      <c r="L79" s="14" t="s">
        <v>509</v>
      </c>
      <c r="M79" s="14" t="s">
        <v>453</v>
      </c>
      <c r="N79" s="2" t="s">
        <v>1660</v>
      </c>
      <c r="O79" s="10">
        <v>6</v>
      </c>
      <c r="P79" s="10"/>
      <c r="Q79" s="10"/>
      <c r="R79" s="9"/>
      <c r="S79" s="9"/>
      <c r="T79" s="9"/>
      <c r="U79" s="44">
        <v>504</v>
      </c>
      <c r="V79" s="44">
        <v>84</v>
      </c>
      <c r="W79" s="22"/>
      <c r="X79" s="22">
        <v>7</v>
      </c>
      <c r="AB79" s="44"/>
      <c r="AF79" s="22">
        <v>42</v>
      </c>
      <c r="AG79">
        <v>7</v>
      </c>
      <c r="AH79">
        <v>0</v>
      </c>
      <c r="AI79">
        <v>0</v>
      </c>
      <c r="AJ79" s="22">
        <v>7</v>
      </c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BP79" s="33"/>
      <c r="BS79" s="20"/>
      <c r="BW79" s="44">
        <v>504</v>
      </c>
      <c r="BX79" s="44">
        <v>84</v>
      </c>
      <c r="CJ79">
        <v>1461</v>
      </c>
      <c r="CK79" s="2" t="s">
        <v>548</v>
      </c>
    </row>
    <row r="80" spans="1:89" ht="12.75">
      <c r="A80" s="18">
        <v>1461</v>
      </c>
      <c r="B80" s="14" t="s">
        <v>1239</v>
      </c>
      <c r="C80" s="14" t="s">
        <v>644</v>
      </c>
      <c r="D80" s="14" t="s">
        <v>229</v>
      </c>
      <c r="E80" s="14" t="s">
        <v>37</v>
      </c>
      <c r="F80" s="32" t="s">
        <v>205</v>
      </c>
      <c r="G80" s="2"/>
      <c r="H80" s="2" t="s">
        <v>537</v>
      </c>
      <c r="I80" s="2" t="s">
        <v>1733</v>
      </c>
      <c r="J80" s="14" t="s">
        <v>415</v>
      </c>
      <c r="K80" s="2" t="s">
        <v>548</v>
      </c>
      <c r="L80" s="14" t="s">
        <v>509</v>
      </c>
      <c r="M80" s="14" t="s">
        <v>453</v>
      </c>
      <c r="N80" s="2" t="s">
        <v>1660</v>
      </c>
      <c r="O80" s="10">
        <v>1</v>
      </c>
      <c r="P80" s="10"/>
      <c r="Q80" s="10"/>
      <c r="R80" s="9"/>
      <c r="S80" s="9"/>
      <c r="T80" s="9"/>
      <c r="U80" s="44">
        <v>82.80000000000001</v>
      </c>
      <c r="V80" s="44">
        <v>82.80000000000001</v>
      </c>
      <c r="W80" s="22"/>
      <c r="X80" s="22">
        <v>6.9</v>
      </c>
      <c r="AB80" s="44"/>
      <c r="AC80">
        <v>6</v>
      </c>
      <c r="AD80">
        <v>18</v>
      </c>
      <c r="AE80">
        <v>0</v>
      </c>
      <c r="AF80" s="22">
        <v>6.9</v>
      </c>
      <c r="AG80">
        <v>6</v>
      </c>
      <c r="AH80">
        <v>18</v>
      </c>
      <c r="AI80">
        <v>0</v>
      </c>
      <c r="AJ80" s="22">
        <v>6.9</v>
      </c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BD80" s="7"/>
      <c r="BE80" s="19"/>
      <c r="BF80" s="19"/>
      <c r="BP80" s="33"/>
      <c r="BS80" s="20"/>
      <c r="BW80" s="44">
        <v>82.80000000000001</v>
      </c>
      <c r="BX80" s="44">
        <v>82.80000000000001</v>
      </c>
      <c r="CJ80">
        <v>1461</v>
      </c>
      <c r="CK80" s="2" t="s">
        <v>548</v>
      </c>
    </row>
    <row r="81" spans="1:89" ht="12.75">
      <c r="A81" s="18">
        <v>1461</v>
      </c>
      <c r="B81" s="14" t="s">
        <v>1239</v>
      </c>
      <c r="C81" s="14" t="s">
        <v>644</v>
      </c>
      <c r="D81" s="14" t="s">
        <v>229</v>
      </c>
      <c r="E81" s="14" t="s">
        <v>37</v>
      </c>
      <c r="F81" s="32" t="s">
        <v>206</v>
      </c>
      <c r="G81" s="2"/>
      <c r="H81" s="2" t="s">
        <v>537</v>
      </c>
      <c r="I81" s="2" t="s">
        <v>851</v>
      </c>
      <c r="J81" s="14" t="s">
        <v>415</v>
      </c>
      <c r="K81" s="2" t="s">
        <v>568</v>
      </c>
      <c r="L81" s="14" t="s">
        <v>509</v>
      </c>
      <c r="M81" s="14" t="s">
        <v>906</v>
      </c>
      <c r="N81" s="2" t="s">
        <v>1660</v>
      </c>
      <c r="O81" s="10">
        <v>8</v>
      </c>
      <c r="P81" s="10"/>
      <c r="Q81" s="10"/>
      <c r="R81" s="9"/>
      <c r="S81" s="9"/>
      <c r="T81" s="9"/>
      <c r="U81" s="44">
        <v>576</v>
      </c>
      <c r="V81" s="44">
        <v>72</v>
      </c>
      <c r="W81" s="22"/>
      <c r="X81" s="22">
        <v>6</v>
      </c>
      <c r="AB81" s="44"/>
      <c r="AF81" s="22">
        <v>48</v>
      </c>
      <c r="AG81">
        <v>6</v>
      </c>
      <c r="AH81">
        <v>0</v>
      </c>
      <c r="AI81">
        <v>0</v>
      </c>
      <c r="AJ81" s="22">
        <v>6</v>
      </c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BD81" s="7"/>
      <c r="BE81" s="19"/>
      <c r="BF81" s="19"/>
      <c r="BP81" s="33"/>
      <c r="BS81" s="20"/>
      <c r="BW81" s="44">
        <v>576</v>
      </c>
      <c r="BX81" s="44">
        <v>72</v>
      </c>
      <c r="CJ81">
        <v>1461</v>
      </c>
      <c r="CK81" s="2" t="s">
        <v>568</v>
      </c>
    </row>
    <row r="83" spans="1:89" ht="12.75">
      <c r="A83" s="18">
        <v>1462</v>
      </c>
      <c r="B83" s="14" t="s">
        <v>1117</v>
      </c>
      <c r="C83" s="14" t="s">
        <v>644</v>
      </c>
      <c r="D83" s="14" t="s">
        <v>229</v>
      </c>
      <c r="E83" s="14" t="s">
        <v>38</v>
      </c>
      <c r="F83" s="32" t="s">
        <v>207</v>
      </c>
      <c r="G83" s="2"/>
      <c r="H83" s="2" t="s">
        <v>537</v>
      </c>
      <c r="I83" s="2" t="s">
        <v>1004</v>
      </c>
      <c r="J83" s="14" t="s">
        <v>415</v>
      </c>
      <c r="K83" s="2" t="s">
        <v>564</v>
      </c>
      <c r="L83" s="14" t="s">
        <v>509</v>
      </c>
      <c r="M83" s="14" t="s">
        <v>897</v>
      </c>
      <c r="N83" s="2" t="s">
        <v>1665</v>
      </c>
      <c r="O83" s="10">
        <v>10</v>
      </c>
      <c r="P83" s="10"/>
      <c r="Q83" s="10"/>
      <c r="R83" s="9"/>
      <c r="S83" s="9"/>
      <c r="T83" s="9"/>
      <c r="U83" s="44">
        <v>900</v>
      </c>
      <c r="V83" s="44">
        <v>90</v>
      </c>
      <c r="W83" s="22"/>
      <c r="X83" s="22">
        <v>7.5</v>
      </c>
      <c r="AB83" s="44"/>
      <c r="AF83" s="22">
        <v>75</v>
      </c>
      <c r="AG83">
        <v>7</v>
      </c>
      <c r="AH83">
        <v>10</v>
      </c>
      <c r="AI83">
        <v>0</v>
      </c>
      <c r="AJ83" s="22">
        <v>7.5</v>
      </c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BD83" s="7"/>
      <c r="BE83" s="19"/>
      <c r="BF83" s="19"/>
      <c r="BP83" s="33"/>
      <c r="BS83" s="20"/>
      <c r="BW83" s="44">
        <v>900</v>
      </c>
      <c r="BX83" s="44">
        <v>90</v>
      </c>
      <c r="CJ83">
        <v>1462</v>
      </c>
      <c r="CK83" s="2" t="s">
        <v>564</v>
      </c>
    </row>
    <row r="84" spans="1:89" ht="12.75">
      <c r="A84" s="18">
        <v>1462</v>
      </c>
      <c r="B84" s="14" t="s">
        <v>1117</v>
      </c>
      <c r="C84" s="14" t="s">
        <v>644</v>
      </c>
      <c r="D84" s="14" t="s">
        <v>229</v>
      </c>
      <c r="E84" s="14" t="s">
        <v>38</v>
      </c>
      <c r="F84" s="32" t="s">
        <v>208</v>
      </c>
      <c r="G84" s="2"/>
      <c r="H84" s="2" t="s">
        <v>537</v>
      </c>
      <c r="I84" s="2" t="s">
        <v>1004</v>
      </c>
      <c r="J84" s="14" t="s">
        <v>415</v>
      </c>
      <c r="K84" s="2" t="s">
        <v>564</v>
      </c>
      <c r="L84" s="14" t="s">
        <v>509</v>
      </c>
      <c r="M84" s="14" t="s">
        <v>897</v>
      </c>
      <c r="N84" s="2" t="s">
        <v>1665</v>
      </c>
      <c r="O84" s="10">
        <v>5</v>
      </c>
      <c r="P84" s="10"/>
      <c r="Q84" s="10"/>
      <c r="R84" s="9"/>
      <c r="S84" s="9"/>
      <c r="T84" s="9"/>
      <c r="U84" s="44">
        <v>420</v>
      </c>
      <c r="V84" s="44">
        <v>84</v>
      </c>
      <c r="W84" s="22"/>
      <c r="X84" s="22">
        <v>7</v>
      </c>
      <c r="AB84" s="44"/>
      <c r="AF84" s="22">
        <v>35</v>
      </c>
      <c r="AG84">
        <v>7</v>
      </c>
      <c r="AH84">
        <v>0</v>
      </c>
      <c r="AI84">
        <v>0</v>
      </c>
      <c r="AJ84" s="22">
        <v>7</v>
      </c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BD84" s="7"/>
      <c r="BE84" s="19"/>
      <c r="BF84" s="19"/>
      <c r="BP84" s="33"/>
      <c r="BS84" s="20"/>
      <c r="BW84" s="44">
        <v>420</v>
      </c>
      <c r="BX84" s="44">
        <v>84</v>
      </c>
      <c r="CJ84">
        <v>1462</v>
      </c>
      <c r="CK84" s="2" t="s">
        <v>564</v>
      </c>
    </row>
    <row r="85" spans="1:89" ht="12.75">
      <c r="A85" s="18">
        <v>1462</v>
      </c>
      <c r="B85" s="14" t="s">
        <v>1117</v>
      </c>
      <c r="C85" s="14" t="s">
        <v>644</v>
      </c>
      <c r="D85" s="14" t="s">
        <v>229</v>
      </c>
      <c r="E85" s="14" t="s">
        <v>38</v>
      </c>
      <c r="F85" s="32" t="s">
        <v>209</v>
      </c>
      <c r="G85" s="2"/>
      <c r="H85" s="2" t="s">
        <v>537</v>
      </c>
      <c r="I85" s="2" t="s">
        <v>977</v>
      </c>
      <c r="J85" s="14" t="s">
        <v>415</v>
      </c>
      <c r="K85" s="2" t="s">
        <v>585</v>
      </c>
      <c r="L85" s="14" t="s">
        <v>509</v>
      </c>
      <c r="M85" s="14" t="s">
        <v>906</v>
      </c>
      <c r="N85" s="2" t="s">
        <v>1340</v>
      </c>
      <c r="O85" s="10">
        <v>4</v>
      </c>
      <c r="P85" s="10"/>
      <c r="Q85" s="10"/>
      <c r="R85" s="9"/>
      <c r="S85" s="9"/>
      <c r="T85" s="9"/>
      <c r="U85" s="44">
        <v>144</v>
      </c>
      <c r="V85" s="44">
        <v>36</v>
      </c>
      <c r="W85" s="22"/>
      <c r="X85" s="22">
        <v>3</v>
      </c>
      <c r="AB85" s="44"/>
      <c r="AC85">
        <v>12</v>
      </c>
      <c r="AD85">
        <v>0</v>
      </c>
      <c r="AE85">
        <v>0</v>
      </c>
      <c r="AF85" s="22">
        <v>12</v>
      </c>
      <c r="AG85">
        <v>3</v>
      </c>
      <c r="AH85">
        <v>0</v>
      </c>
      <c r="AI85">
        <v>0</v>
      </c>
      <c r="AJ85" s="22">
        <v>3</v>
      </c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BD85" s="7"/>
      <c r="BE85" s="19"/>
      <c r="BF85" s="19"/>
      <c r="BG85" s="22">
        <v>3</v>
      </c>
      <c r="BP85" s="33"/>
      <c r="BS85" s="20"/>
      <c r="BW85" s="44">
        <v>144</v>
      </c>
      <c r="BX85" s="44">
        <v>36</v>
      </c>
      <c r="CJ85">
        <v>1462</v>
      </c>
      <c r="CK85" s="2" t="s">
        <v>585</v>
      </c>
    </row>
    <row r="86" spans="1:89" ht="12.75">
      <c r="A86" s="18">
        <v>1462</v>
      </c>
      <c r="B86" s="14" t="s">
        <v>1117</v>
      </c>
      <c r="C86" s="14" t="s">
        <v>644</v>
      </c>
      <c r="D86" s="14" t="s">
        <v>229</v>
      </c>
      <c r="E86" s="14" t="s">
        <v>38</v>
      </c>
      <c r="F86" s="32" t="s">
        <v>211</v>
      </c>
      <c r="G86" s="2"/>
      <c r="H86" s="2" t="s">
        <v>537</v>
      </c>
      <c r="I86" s="2" t="s">
        <v>1500</v>
      </c>
      <c r="J86" s="14" t="s">
        <v>1414</v>
      </c>
      <c r="K86" s="2" t="s">
        <v>597</v>
      </c>
      <c r="L86" s="14" t="s">
        <v>509</v>
      </c>
      <c r="M86" s="14" t="s">
        <v>1611</v>
      </c>
      <c r="N86" s="2" t="s">
        <v>1450</v>
      </c>
      <c r="O86" s="10">
        <v>1</v>
      </c>
      <c r="P86" s="10"/>
      <c r="Q86" s="10"/>
      <c r="R86" s="9"/>
      <c r="S86" s="9"/>
      <c r="T86" s="9"/>
      <c r="U86" s="44">
        <v>34.8</v>
      </c>
      <c r="V86" s="44">
        <v>34.8</v>
      </c>
      <c r="W86" s="22"/>
      <c r="X86" s="22">
        <v>2.9</v>
      </c>
      <c r="AB86" s="44"/>
      <c r="AC86">
        <v>2</v>
      </c>
      <c r="AD86">
        <v>18</v>
      </c>
      <c r="AE86">
        <v>0</v>
      </c>
      <c r="AF86" s="22">
        <v>2.9</v>
      </c>
      <c r="AG86">
        <v>2</v>
      </c>
      <c r="AH86">
        <v>18</v>
      </c>
      <c r="AI86">
        <v>0</v>
      </c>
      <c r="AJ86" s="22">
        <v>2.9</v>
      </c>
      <c r="AL86" s="22">
        <v>2.9</v>
      </c>
      <c r="AU86" s="7"/>
      <c r="BG86" s="22"/>
      <c r="BP86" s="33"/>
      <c r="BS86" s="20"/>
      <c r="BW86" s="44">
        <v>34.8</v>
      </c>
      <c r="BX86" s="44">
        <v>34.8</v>
      </c>
      <c r="CJ86">
        <v>1462</v>
      </c>
      <c r="CK86" s="2" t="s">
        <v>597</v>
      </c>
    </row>
    <row r="88" spans="1:89" ht="12.75">
      <c r="A88" s="18">
        <v>1462</v>
      </c>
      <c r="B88" s="14" t="s">
        <v>1239</v>
      </c>
      <c r="C88" s="14" t="s">
        <v>644</v>
      </c>
      <c r="D88" s="14" t="s">
        <v>230</v>
      </c>
      <c r="E88" s="14" t="s">
        <v>35</v>
      </c>
      <c r="F88" s="32" t="s">
        <v>214</v>
      </c>
      <c r="G88" s="2"/>
      <c r="H88" s="2" t="s">
        <v>537</v>
      </c>
      <c r="I88" s="2" t="s">
        <v>824</v>
      </c>
      <c r="J88" s="14" t="s">
        <v>415</v>
      </c>
      <c r="K88" s="2" t="s">
        <v>576</v>
      </c>
      <c r="L88" s="14" t="s">
        <v>509</v>
      </c>
      <c r="M88" s="14" t="s">
        <v>1611</v>
      </c>
      <c r="N88" s="2" t="s">
        <v>1660</v>
      </c>
      <c r="O88" s="10">
        <v>4.5</v>
      </c>
      <c r="P88" s="10"/>
      <c r="Q88" s="10"/>
      <c r="R88" s="9"/>
      <c r="S88" s="9"/>
      <c r="T88" s="9"/>
      <c r="U88" s="44">
        <v>351</v>
      </c>
      <c r="V88" s="44">
        <v>78</v>
      </c>
      <c r="W88" s="22"/>
      <c r="X88" s="22">
        <v>6.5</v>
      </c>
      <c r="AB88" s="44"/>
      <c r="AF88" s="22">
        <v>29.25</v>
      </c>
      <c r="AG88">
        <v>6</v>
      </c>
      <c r="AH88">
        <v>10</v>
      </c>
      <c r="AI88">
        <v>0</v>
      </c>
      <c r="AJ88" s="22">
        <v>6.5</v>
      </c>
      <c r="AY88" s="7"/>
      <c r="BP88" s="33"/>
      <c r="BS88" s="20"/>
      <c r="BW88" s="44">
        <v>351</v>
      </c>
      <c r="BX88" s="44">
        <v>78</v>
      </c>
      <c r="CJ88">
        <v>1462</v>
      </c>
      <c r="CK88" s="2" t="s">
        <v>576</v>
      </c>
    </row>
    <row r="89" spans="1:89" ht="12.75">
      <c r="A89" s="18">
        <v>1462</v>
      </c>
      <c r="B89" s="14" t="s">
        <v>1239</v>
      </c>
      <c r="C89" s="14" t="s">
        <v>644</v>
      </c>
      <c r="D89" s="14" t="s">
        <v>230</v>
      </c>
      <c r="E89" s="14" t="s">
        <v>35</v>
      </c>
      <c r="F89" s="32" t="s">
        <v>215</v>
      </c>
      <c r="G89" s="2"/>
      <c r="H89" s="2" t="s">
        <v>537</v>
      </c>
      <c r="I89" s="2" t="s">
        <v>1007</v>
      </c>
      <c r="J89" s="14" t="s">
        <v>415</v>
      </c>
      <c r="K89" s="2" t="s">
        <v>583</v>
      </c>
      <c r="L89" s="14" t="s">
        <v>509</v>
      </c>
      <c r="M89" s="14" t="s">
        <v>897</v>
      </c>
      <c r="N89" s="2" t="s">
        <v>1660</v>
      </c>
      <c r="O89" s="10">
        <v>10.5</v>
      </c>
      <c r="P89" s="10"/>
      <c r="Q89" s="10"/>
      <c r="R89" s="9"/>
      <c r="S89" s="9"/>
      <c r="T89" s="9"/>
      <c r="U89" s="44">
        <v>756</v>
      </c>
      <c r="V89" s="44">
        <v>72</v>
      </c>
      <c r="W89" s="22"/>
      <c r="X89" s="22">
        <v>6</v>
      </c>
      <c r="AB89" s="44"/>
      <c r="AF89" s="22">
        <v>63</v>
      </c>
      <c r="AG89">
        <v>6</v>
      </c>
      <c r="AH89">
        <v>0</v>
      </c>
      <c r="AI89">
        <v>0</v>
      </c>
      <c r="AJ89" s="22">
        <v>6</v>
      </c>
      <c r="AZ89" s="7"/>
      <c r="BP89" s="33"/>
      <c r="BS89" s="20"/>
      <c r="BW89" s="44">
        <v>756</v>
      </c>
      <c r="BX89" s="44">
        <v>72</v>
      </c>
      <c r="CJ89">
        <v>1462</v>
      </c>
      <c r="CK89" s="2" t="s">
        <v>583</v>
      </c>
    </row>
    <row r="91" spans="1:90" ht="12.75">
      <c r="A91" s="18">
        <v>1463</v>
      </c>
      <c r="B91" s="14" t="s">
        <v>1117</v>
      </c>
      <c r="C91" s="14" t="s">
        <v>644</v>
      </c>
      <c r="D91" s="14" t="s">
        <v>230</v>
      </c>
      <c r="E91" s="14" t="s">
        <v>36</v>
      </c>
      <c r="F91" s="32" t="s">
        <v>216</v>
      </c>
      <c r="G91" s="2">
        <v>1</v>
      </c>
      <c r="H91" s="2" t="s">
        <v>537</v>
      </c>
      <c r="I91" s="2" t="s">
        <v>533</v>
      </c>
      <c r="J91" s="14" t="s">
        <v>415</v>
      </c>
      <c r="K91" s="2" t="s">
        <v>598</v>
      </c>
      <c r="L91" s="14" t="s">
        <v>509</v>
      </c>
      <c r="M91" s="14" t="s">
        <v>1611</v>
      </c>
      <c r="N91" s="2" t="s">
        <v>620</v>
      </c>
      <c r="O91" s="10">
        <v>7</v>
      </c>
      <c r="P91" s="10"/>
      <c r="Q91" s="10"/>
      <c r="R91" s="9"/>
      <c r="S91" s="9"/>
      <c r="T91" s="9"/>
      <c r="U91" s="44">
        <v>533.3999999999999</v>
      </c>
      <c r="V91" s="44">
        <v>76.19999999999999</v>
      </c>
      <c r="W91" s="22"/>
      <c r="X91" s="22">
        <v>6.35</v>
      </c>
      <c r="AB91" s="44"/>
      <c r="AF91" s="22">
        <v>44.45</v>
      </c>
      <c r="AG91">
        <v>6</v>
      </c>
      <c r="AH91">
        <v>7</v>
      </c>
      <c r="AI91">
        <v>0</v>
      </c>
      <c r="AJ91" s="22">
        <v>6.35</v>
      </c>
      <c r="BB91" s="7"/>
      <c r="BL91" s="22">
        <v>0.4434782608695652</v>
      </c>
      <c r="BM91" s="22">
        <v>0.03260869565217391</v>
      </c>
      <c r="BO91" s="22">
        <v>0.4760869565217391</v>
      </c>
      <c r="BP91" s="34">
        <v>6.826086956521738</v>
      </c>
      <c r="BQ91" s="37">
        <v>0.06496815286624204</v>
      </c>
      <c r="BR91" s="37">
        <v>0.004777070063694268</v>
      </c>
      <c r="BS91" s="20">
        <v>0.0697452229299363</v>
      </c>
      <c r="BW91" s="44">
        <v>573.3913043478259</v>
      </c>
      <c r="BX91" s="44">
        <v>81.91304347826085</v>
      </c>
      <c r="CJ91">
        <v>1463</v>
      </c>
      <c r="CK91" s="2" t="s">
        <v>598</v>
      </c>
      <c r="CL91" t="s">
        <v>55</v>
      </c>
    </row>
    <row r="92" spans="1:89" ht="12.75">
      <c r="A92" s="18">
        <v>1463</v>
      </c>
      <c r="B92" s="14" t="s">
        <v>1117</v>
      </c>
      <c r="C92" s="14" t="s">
        <v>644</v>
      </c>
      <c r="D92" s="14" t="s">
        <v>230</v>
      </c>
      <c r="E92" s="14" t="s">
        <v>36</v>
      </c>
      <c r="F92" s="32" t="s">
        <v>217</v>
      </c>
      <c r="G92" s="2">
        <v>1</v>
      </c>
      <c r="H92" s="2" t="s">
        <v>537</v>
      </c>
      <c r="I92" s="2" t="s">
        <v>534</v>
      </c>
      <c r="J92" s="14" t="s">
        <v>415</v>
      </c>
      <c r="K92" s="2" t="s">
        <v>598</v>
      </c>
      <c r="L92" s="14" t="s">
        <v>509</v>
      </c>
      <c r="M92" s="14" t="s">
        <v>1611</v>
      </c>
      <c r="N92" s="2" t="s">
        <v>620</v>
      </c>
      <c r="O92" s="10">
        <v>2</v>
      </c>
      <c r="P92" s="10"/>
      <c r="Q92" s="10"/>
      <c r="R92" s="9"/>
      <c r="S92" s="9"/>
      <c r="T92" s="9"/>
      <c r="U92" s="44">
        <v>153.60000000000002</v>
      </c>
      <c r="V92" s="44">
        <v>76.80000000000001</v>
      </c>
      <c r="W92" s="22"/>
      <c r="X92" s="22">
        <v>6.4</v>
      </c>
      <c r="AB92" s="44"/>
      <c r="AF92" s="22">
        <v>12.8</v>
      </c>
      <c r="AG92">
        <v>6</v>
      </c>
      <c r="AH92">
        <v>8</v>
      </c>
      <c r="AI92">
        <v>0</v>
      </c>
      <c r="AJ92" s="22">
        <v>6.4</v>
      </c>
      <c r="BB92" s="7"/>
      <c r="BL92" s="22">
        <v>0.4434782608695652</v>
      </c>
      <c r="BM92" s="22">
        <v>0.03260869565217391</v>
      </c>
      <c r="BO92" s="22">
        <v>0.4760869565217391</v>
      </c>
      <c r="BP92" s="34">
        <v>6.876086956521739</v>
      </c>
      <c r="BQ92" s="37">
        <v>0.06449573190009485</v>
      </c>
      <c r="BR92" s="37">
        <v>0.00474233322794815</v>
      </c>
      <c r="BS92" s="20">
        <v>0.069238065128043</v>
      </c>
      <c r="BW92" s="44">
        <v>165.02608695652177</v>
      </c>
      <c r="BX92" s="44">
        <v>82.51304347826088</v>
      </c>
      <c r="CJ92">
        <v>1463</v>
      </c>
      <c r="CK92" s="2" t="s">
        <v>598</v>
      </c>
    </row>
    <row r="93" spans="1:89" ht="12.75">
      <c r="A93" s="18">
        <v>1463</v>
      </c>
      <c r="B93" s="14" t="s">
        <v>1117</v>
      </c>
      <c r="C93" s="14" t="s">
        <v>644</v>
      </c>
      <c r="D93" s="14" t="s">
        <v>230</v>
      </c>
      <c r="E93" s="14" t="s">
        <v>36</v>
      </c>
      <c r="F93" s="32" t="s">
        <v>218</v>
      </c>
      <c r="G93" s="2">
        <v>1</v>
      </c>
      <c r="H93" s="2" t="s">
        <v>537</v>
      </c>
      <c r="I93" s="2" t="s">
        <v>534</v>
      </c>
      <c r="J93" s="14" t="s">
        <v>415</v>
      </c>
      <c r="K93" s="2" t="s">
        <v>598</v>
      </c>
      <c r="L93" s="14" t="s">
        <v>509</v>
      </c>
      <c r="M93" s="14" t="s">
        <v>1611</v>
      </c>
      <c r="N93" s="2" t="s">
        <v>620</v>
      </c>
      <c r="O93" s="10">
        <v>1.3333333333333333</v>
      </c>
      <c r="P93" s="10"/>
      <c r="Q93" s="10"/>
      <c r="R93" s="9"/>
      <c r="S93" s="9"/>
      <c r="T93" s="9"/>
      <c r="U93" s="44">
        <v>109.2</v>
      </c>
      <c r="V93" s="44">
        <v>81.9</v>
      </c>
      <c r="X93">
        <v>6.825</v>
      </c>
      <c r="AC93">
        <v>9</v>
      </c>
      <c r="AD93">
        <v>2</v>
      </c>
      <c r="AE93">
        <v>0</v>
      </c>
      <c r="AF93" s="22">
        <v>9.1</v>
      </c>
      <c r="AJ93" s="22">
        <v>6.825</v>
      </c>
      <c r="BL93" s="22">
        <v>0.4434782608695652</v>
      </c>
      <c r="BM93" s="22">
        <v>0.03260869565217391</v>
      </c>
      <c r="BO93" s="22">
        <v>0.4760869565217391</v>
      </c>
      <c r="BP93" s="34">
        <v>7.301086956521739</v>
      </c>
      <c r="BQ93" s="37">
        <v>0.060741402411790976</v>
      </c>
      <c r="BR93" s="37">
        <v>0.0044662795891022775</v>
      </c>
      <c r="BS93" s="20">
        <v>0.06520768200089326</v>
      </c>
      <c r="BW93" s="44">
        <v>116.81739130434782</v>
      </c>
      <c r="BX93" s="44">
        <v>87.61304347826088</v>
      </c>
      <c r="CJ93">
        <v>1463</v>
      </c>
      <c r="CK93" s="2" t="s">
        <v>598</v>
      </c>
    </row>
    <row r="94" spans="1:89" ht="12.75">
      <c r="A94" s="18">
        <v>1463</v>
      </c>
      <c r="B94" s="14" t="s">
        <v>1117</v>
      </c>
      <c r="C94" s="14" t="s">
        <v>644</v>
      </c>
      <c r="D94" s="14" t="s">
        <v>230</v>
      </c>
      <c r="E94" s="14" t="s">
        <v>36</v>
      </c>
      <c r="F94" s="32" t="s">
        <v>219</v>
      </c>
      <c r="G94" s="2">
        <v>1</v>
      </c>
      <c r="H94" s="2" t="s">
        <v>537</v>
      </c>
      <c r="I94" s="2" t="s">
        <v>831</v>
      </c>
      <c r="J94" s="14" t="s">
        <v>415</v>
      </c>
      <c r="K94" s="2" t="s">
        <v>579</v>
      </c>
      <c r="L94" s="14" t="s">
        <v>509</v>
      </c>
      <c r="M94" s="14" t="s">
        <v>5</v>
      </c>
      <c r="N94" s="2" t="s">
        <v>620</v>
      </c>
      <c r="O94" s="10">
        <v>5</v>
      </c>
      <c r="P94" s="10"/>
      <c r="Q94" s="10"/>
      <c r="R94" s="9"/>
      <c r="S94" s="9"/>
      <c r="T94" s="9"/>
      <c r="U94" s="44">
        <v>450</v>
      </c>
      <c r="V94" s="44">
        <v>90</v>
      </c>
      <c r="W94" s="22"/>
      <c r="X94" s="22">
        <v>7.5</v>
      </c>
      <c r="AB94" s="44"/>
      <c r="AF94" s="22">
        <v>37.5</v>
      </c>
      <c r="AG94">
        <v>7</v>
      </c>
      <c r="AH94">
        <v>10</v>
      </c>
      <c r="AI94">
        <v>0</v>
      </c>
      <c r="AJ94" s="22">
        <v>7.5</v>
      </c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BG94" s="7"/>
      <c r="BL94" s="22">
        <v>0.4434782608695652</v>
      </c>
      <c r="BM94" s="22">
        <v>0.03260869565217391</v>
      </c>
      <c r="BO94" s="22">
        <v>0.4760869565217391</v>
      </c>
      <c r="BP94" s="34">
        <v>7.976086956521739</v>
      </c>
      <c r="BQ94" s="37">
        <v>0.05560098119378577</v>
      </c>
      <c r="BR94" s="37">
        <v>0.004088307440719542</v>
      </c>
      <c r="BS94" s="20">
        <v>0.059689288634505316</v>
      </c>
      <c r="BW94" s="44">
        <v>478.5652173913044</v>
      </c>
      <c r="BX94" s="44">
        <v>95.71304347826087</v>
      </c>
      <c r="CJ94">
        <v>1463</v>
      </c>
      <c r="CK94" s="2" t="s">
        <v>579</v>
      </c>
    </row>
    <row r="96" spans="1:89" ht="12.75">
      <c r="A96" s="18">
        <v>1463</v>
      </c>
      <c r="B96" s="14" t="s">
        <v>1239</v>
      </c>
      <c r="C96" s="14" t="s">
        <v>644</v>
      </c>
      <c r="D96" s="14" t="s">
        <v>231</v>
      </c>
      <c r="E96" s="14" t="s">
        <v>33</v>
      </c>
      <c r="F96" s="32" t="s">
        <v>240</v>
      </c>
      <c r="G96" s="2"/>
      <c r="H96" s="2" t="s">
        <v>537</v>
      </c>
      <c r="I96" s="2" t="s">
        <v>852</v>
      </c>
      <c r="J96" s="14" t="s">
        <v>415</v>
      </c>
      <c r="K96" s="2" t="s">
        <v>586</v>
      </c>
      <c r="L96" s="14" t="s">
        <v>509</v>
      </c>
      <c r="M96" s="14" t="s">
        <v>906</v>
      </c>
      <c r="N96" s="2" t="s">
        <v>1660</v>
      </c>
      <c r="O96" s="10">
        <v>12</v>
      </c>
      <c r="P96" s="10"/>
      <c r="Q96" s="10"/>
      <c r="R96" s="9"/>
      <c r="S96" s="9"/>
      <c r="T96" s="9"/>
      <c r="U96" s="44">
        <v>972</v>
      </c>
      <c r="V96" s="44">
        <v>81</v>
      </c>
      <c r="W96" s="22"/>
      <c r="X96" s="22">
        <v>6.75</v>
      </c>
      <c r="AB96" s="44"/>
      <c r="AF96" s="22">
        <v>81</v>
      </c>
      <c r="AG96">
        <v>6</v>
      </c>
      <c r="AH96">
        <v>15</v>
      </c>
      <c r="AI96">
        <v>0</v>
      </c>
      <c r="AJ96" s="22">
        <v>6.75</v>
      </c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BG96" s="7"/>
      <c r="BP96" s="33"/>
      <c r="BS96" s="20"/>
      <c r="BW96" s="44">
        <v>972</v>
      </c>
      <c r="BX96" s="44">
        <v>81</v>
      </c>
      <c r="CJ96">
        <v>1462</v>
      </c>
      <c r="CK96" s="2" t="s">
        <v>586</v>
      </c>
    </row>
    <row r="98" spans="1:90" ht="12.75">
      <c r="A98" s="18">
        <v>1464</v>
      </c>
      <c r="B98" s="14" t="s">
        <v>1117</v>
      </c>
      <c r="C98" s="14" t="s">
        <v>644</v>
      </c>
      <c r="D98" s="14" t="s">
        <v>231</v>
      </c>
      <c r="E98" s="14" t="s">
        <v>10</v>
      </c>
      <c r="F98" s="32" t="s">
        <v>242</v>
      </c>
      <c r="G98" s="2">
        <v>1</v>
      </c>
      <c r="H98" s="2" t="s">
        <v>537</v>
      </c>
      <c r="I98" s="2" t="s">
        <v>529</v>
      </c>
      <c r="J98" s="14" t="s">
        <v>415</v>
      </c>
      <c r="K98" s="2" t="s">
        <v>561</v>
      </c>
      <c r="L98" s="14" t="s">
        <v>509</v>
      </c>
      <c r="M98" s="14" t="s">
        <v>904</v>
      </c>
      <c r="N98" s="2" t="s">
        <v>1662</v>
      </c>
      <c r="O98" s="10">
        <v>5</v>
      </c>
      <c r="P98" s="10"/>
      <c r="Q98" s="10"/>
      <c r="R98" s="9"/>
      <c r="S98" s="9"/>
      <c r="T98" s="9"/>
      <c r="U98" s="44">
        <v>432</v>
      </c>
      <c r="V98" s="44">
        <v>86.4</v>
      </c>
      <c r="W98" s="22"/>
      <c r="X98" s="22">
        <v>7.2</v>
      </c>
      <c r="AB98" s="44"/>
      <c r="AF98" s="22">
        <v>36</v>
      </c>
      <c r="AG98">
        <v>7</v>
      </c>
      <c r="AH98">
        <v>4</v>
      </c>
      <c r="AI98">
        <v>0</v>
      </c>
      <c r="AJ98" s="22">
        <v>7.2</v>
      </c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BC98" s="7"/>
      <c r="BL98" s="22">
        <v>0.38333333333333336</v>
      </c>
      <c r="BO98" s="22">
        <v>0.38333333333333336</v>
      </c>
      <c r="BP98" s="34">
        <v>7.583333333333334</v>
      </c>
      <c r="BQ98" s="37">
        <v>0.05054945054945055</v>
      </c>
      <c r="BR98" s="37">
        <v>0</v>
      </c>
      <c r="BS98" s="20">
        <v>0.05054945054945055</v>
      </c>
      <c r="BW98" s="44">
        <v>455</v>
      </c>
      <c r="BX98" s="44">
        <v>91</v>
      </c>
      <c r="CJ98">
        <v>1464</v>
      </c>
      <c r="CK98" s="2" t="s">
        <v>561</v>
      </c>
      <c r="CL98" t="s">
        <v>56</v>
      </c>
    </row>
    <row r="99" spans="1:89" ht="12.75">
      <c r="A99" s="18">
        <v>1464</v>
      </c>
      <c r="B99" s="14" t="s">
        <v>1117</v>
      </c>
      <c r="C99" s="14" t="s">
        <v>644</v>
      </c>
      <c r="D99" s="14" t="s">
        <v>231</v>
      </c>
      <c r="E99" s="14" t="s">
        <v>10</v>
      </c>
      <c r="F99" s="32" t="s">
        <v>243</v>
      </c>
      <c r="G99" s="2">
        <v>1</v>
      </c>
      <c r="H99" s="2" t="s">
        <v>537</v>
      </c>
      <c r="I99" s="2" t="s">
        <v>821</v>
      </c>
      <c r="J99" s="14" t="s">
        <v>415</v>
      </c>
      <c r="K99" s="2" t="s">
        <v>562</v>
      </c>
      <c r="L99" s="14" t="s">
        <v>509</v>
      </c>
      <c r="M99" s="14" t="s">
        <v>904</v>
      </c>
      <c r="N99" s="2" t="s">
        <v>1662</v>
      </c>
      <c r="O99" s="10">
        <v>4</v>
      </c>
      <c r="P99" s="10"/>
      <c r="Q99" s="10"/>
      <c r="R99" s="9"/>
      <c r="S99" s="9"/>
      <c r="T99" s="9"/>
      <c r="U99" s="44">
        <v>342</v>
      </c>
      <c r="V99" s="44">
        <v>85.5</v>
      </c>
      <c r="W99" s="22"/>
      <c r="X99" s="22">
        <v>7.125</v>
      </c>
      <c r="AB99" s="44"/>
      <c r="AF99" s="22">
        <v>28.5</v>
      </c>
      <c r="AG99">
        <v>7</v>
      </c>
      <c r="AH99">
        <v>2</v>
      </c>
      <c r="AI99">
        <v>6</v>
      </c>
      <c r="AJ99" s="22">
        <v>7.125</v>
      </c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BO99" s="22"/>
      <c r="BP99" s="34"/>
      <c r="BQ99" s="37"/>
      <c r="BR99" s="37"/>
      <c r="BS99" s="20"/>
      <c r="BW99" s="44">
        <v>342</v>
      </c>
      <c r="BX99" s="44">
        <v>85.5</v>
      </c>
      <c r="CJ99">
        <v>1464</v>
      </c>
      <c r="CK99" s="2" t="s">
        <v>562</v>
      </c>
    </row>
    <row r="100" spans="1:90" ht="12.75">
      <c r="A100" s="18">
        <v>1464</v>
      </c>
      <c r="B100" s="14" t="s">
        <v>1117</v>
      </c>
      <c r="C100" s="14" t="s">
        <v>644</v>
      </c>
      <c r="D100" s="14" t="s">
        <v>231</v>
      </c>
      <c r="E100" s="14" t="s">
        <v>10</v>
      </c>
      <c r="F100" s="32" t="s">
        <v>244</v>
      </c>
      <c r="G100" s="2">
        <v>1</v>
      </c>
      <c r="H100" s="2" t="s">
        <v>537</v>
      </c>
      <c r="I100" s="2" t="s">
        <v>826</v>
      </c>
      <c r="J100" s="14" t="s">
        <v>415</v>
      </c>
      <c r="K100" s="2" t="s">
        <v>574</v>
      </c>
      <c r="L100" s="14" t="s">
        <v>509</v>
      </c>
      <c r="M100" s="14" t="s">
        <v>904</v>
      </c>
      <c r="N100" s="2" t="s">
        <v>1662</v>
      </c>
      <c r="O100" s="10">
        <v>1</v>
      </c>
      <c r="P100" s="10"/>
      <c r="Q100" s="10"/>
      <c r="R100" s="9"/>
      <c r="S100" s="9"/>
      <c r="T100" s="9"/>
      <c r="U100" s="44">
        <v>85.5</v>
      </c>
      <c r="V100" s="44">
        <v>85.5</v>
      </c>
      <c r="W100" s="22"/>
      <c r="X100" s="22">
        <v>7.125</v>
      </c>
      <c r="AB100" s="44"/>
      <c r="AC100">
        <v>7</v>
      </c>
      <c r="AD100">
        <v>2</v>
      </c>
      <c r="AE100">
        <v>6</v>
      </c>
      <c r="AF100" s="22">
        <v>7.125</v>
      </c>
      <c r="AG100">
        <v>7</v>
      </c>
      <c r="AH100">
        <v>2</v>
      </c>
      <c r="AI100">
        <v>6</v>
      </c>
      <c r="AJ100" s="22">
        <v>7.125</v>
      </c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BL100" s="22">
        <v>0.38333333333333336</v>
      </c>
      <c r="BO100" s="22">
        <v>0.38333333333333336</v>
      </c>
      <c r="BP100" s="34">
        <v>7.508333333333334</v>
      </c>
      <c r="BQ100" s="37">
        <v>0.051054384017758046</v>
      </c>
      <c r="BS100" s="20">
        <v>0.051054384017758046</v>
      </c>
      <c r="BW100" s="44">
        <v>90.1</v>
      </c>
      <c r="BX100" s="44">
        <v>90.1</v>
      </c>
      <c r="CJ100">
        <v>1464</v>
      </c>
      <c r="CK100" s="2" t="s">
        <v>574</v>
      </c>
      <c r="CL100" t="s">
        <v>1192</v>
      </c>
    </row>
    <row r="101" spans="1:89" ht="12.75">
      <c r="A101" s="18">
        <v>1464</v>
      </c>
      <c r="B101" s="14" t="s">
        <v>1117</v>
      </c>
      <c r="C101" s="14" t="s">
        <v>644</v>
      </c>
      <c r="D101" s="14" t="s">
        <v>231</v>
      </c>
      <c r="E101" s="14" t="s">
        <v>10</v>
      </c>
      <c r="F101" s="32" t="s">
        <v>245</v>
      </c>
      <c r="G101" s="2">
        <v>1</v>
      </c>
      <c r="H101" s="2" t="s">
        <v>537</v>
      </c>
      <c r="I101" s="2" t="s">
        <v>827</v>
      </c>
      <c r="J101" s="14" t="s">
        <v>415</v>
      </c>
      <c r="K101" s="2" t="s">
        <v>573</v>
      </c>
      <c r="L101" s="14" t="s">
        <v>509</v>
      </c>
      <c r="M101" s="14" t="s">
        <v>1535</v>
      </c>
      <c r="N101" s="2" t="s">
        <v>1662</v>
      </c>
      <c r="O101" s="10">
        <v>3</v>
      </c>
      <c r="P101" s="10"/>
      <c r="Q101" s="10"/>
      <c r="R101" s="9"/>
      <c r="S101" s="9"/>
      <c r="T101" s="9"/>
      <c r="U101" s="44">
        <v>246</v>
      </c>
      <c r="V101" s="44">
        <v>82</v>
      </c>
      <c r="W101" s="22"/>
      <c r="X101" s="22">
        <v>6.833333333333333</v>
      </c>
      <c r="AB101" s="44"/>
      <c r="AF101" s="22">
        <v>20.5</v>
      </c>
      <c r="AG101">
        <v>6</v>
      </c>
      <c r="AH101">
        <v>16</v>
      </c>
      <c r="AI101">
        <v>8</v>
      </c>
      <c r="AJ101" s="22">
        <v>6.833333333333333</v>
      </c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BS101" s="20"/>
      <c r="BW101" s="44">
        <v>246</v>
      </c>
      <c r="BX101" s="44">
        <v>82</v>
      </c>
      <c r="CJ101">
        <v>1464</v>
      </c>
      <c r="CK101" s="2" t="s">
        <v>573</v>
      </c>
    </row>
    <row r="102" spans="1:89" ht="12.75">
      <c r="A102" s="18">
        <v>1464</v>
      </c>
      <c r="B102" s="14" t="s">
        <v>1117</v>
      </c>
      <c r="C102" s="14" t="s">
        <v>644</v>
      </c>
      <c r="D102" s="14" t="s">
        <v>231</v>
      </c>
      <c r="E102" s="14" t="s">
        <v>10</v>
      </c>
      <c r="F102" s="32" t="s">
        <v>246</v>
      </c>
      <c r="G102" s="2">
        <v>1</v>
      </c>
      <c r="H102" s="2" t="s">
        <v>537</v>
      </c>
      <c r="I102" s="2" t="s">
        <v>827</v>
      </c>
      <c r="J102" s="14" t="s">
        <v>415</v>
      </c>
      <c r="K102" s="2" t="s">
        <v>572</v>
      </c>
      <c r="L102" s="14" t="s">
        <v>509</v>
      </c>
      <c r="M102" s="14" t="s">
        <v>1535</v>
      </c>
      <c r="N102" s="2" t="s">
        <v>1662</v>
      </c>
      <c r="O102" s="10">
        <v>1</v>
      </c>
      <c r="P102" s="10"/>
      <c r="Q102" s="10"/>
      <c r="R102" s="9"/>
      <c r="S102" s="9"/>
      <c r="T102" s="9"/>
      <c r="U102" s="44">
        <v>81</v>
      </c>
      <c r="V102" s="44">
        <v>81</v>
      </c>
      <c r="W102" s="22"/>
      <c r="X102" s="22">
        <v>6.75</v>
      </c>
      <c r="AB102" s="44"/>
      <c r="AC102">
        <v>6</v>
      </c>
      <c r="AD102">
        <v>15</v>
      </c>
      <c r="AE102">
        <v>0</v>
      </c>
      <c r="AF102" s="22">
        <v>6.75</v>
      </c>
      <c r="AG102">
        <v>6</v>
      </c>
      <c r="AH102">
        <v>15</v>
      </c>
      <c r="AI102">
        <v>0</v>
      </c>
      <c r="AJ102" s="22">
        <v>6.75</v>
      </c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Y102" s="7"/>
      <c r="BP102" s="33"/>
      <c r="BS102" s="20"/>
      <c r="BW102" s="44">
        <v>81</v>
      </c>
      <c r="BX102" s="44">
        <v>81</v>
      </c>
      <c r="CJ102">
        <v>1464</v>
      </c>
      <c r="CK102" s="2" t="s">
        <v>572</v>
      </c>
    </row>
    <row r="104" spans="1:89" ht="12.75">
      <c r="A104" s="18">
        <v>1464</v>
      </c>
      <c r="B104" s="14" t="s">
        <v>1239</v>
      </c>
      <c r="C104" s="14" t="s">
        <v>644</v>
      </c>
      <c r="D104" s="14" t="s">
        <v>232</v>
      </c>
      <c r="E104" s="14" t="s">
        <v>33</v>
      </c>
      <c r="F104" s="32" t="s">
        <v>255</v>
      </c>
      <c r="G104" s="2"/>
      <c r="H104" s="2" t="s">
        <v>537</v>
      </c>
      <c r="I104" s="2" t="s">
        <v>805</v>
      </c>
      <c r="J104" s="14" t="s">
        <v>415</v>
      </c>
      <c r="K104" s="2" t="s">
        <v>568</v>
      </c>
      <c r="L104" s="14" t="s">
        <v>509</v>
      </c>
      <c r="M104" s="14" t="s">
        <v>906</v>
      </c>
      <c r="N104" s="2" t="s">
        <v>1660</v>
      </c>
      <c r="O104" s="10">
        <v>6</v>
      </c>
      <c r="P104" s="10"/>
      <c r="Q104" s="10"/>
      <c r="R104" s="9"/>
      <c r="S104" s="9"/>
      <c r="T104" s="9"/>
      <c r="U104" s="44">
        <v>450</v>
      </c>
      <c r="V104" s="44">
        <v>75</v>
      </c>
      <c r="W104" s="22"/>
      <c r="X104" s="22">
        <v>6.25</v>
      </c>
      <c r="AF104" s="22">
        <v>37.5</v>
      </c>
      <c r="AG104">
        <v>6</v>
      </c>
      <c r="AH104">
        <v>5</v>
      </c>
      <c r="AI104">
        <v>0</v>
      </c>
      <c r="AJ104" s="22">
        <v>6.25</v>
      </c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BP104" s="33"/>
      <c r="BS104" s="20"/>
      <c r="BW104" s="44">
        <v>450</v>
      </c>
      <c r="BX104" s="44">
        <v>75</v>
      </c>
      <c r="CJ104">
        <v>1464</v>
      </c>
      <c r="CK104" s="2" t="s">
        <v>568</v>
      </c>
    </row>
    <row r="105" spans="1:89" ht="12.75">
      <c r="A105" s="18">
        <v>1464</v>
      </c>
      <c r="B105" s="14" t="s">
        <v>1239</v>
      </c>
      <c r="C105" s="14" t="s">
        <v>644</v>
      </c>
      <c r="D105" s="14" t="s">
        <v>232</v>
      </c>
      <c r="E105" s="14" t="s">
        <v>33</v>
      </c>
      <c r="F105" s="32" t="s">
        <v>258</v>
      </c>
      <c r="G105" s="2"/>
      <c r="H105" s="2" t="s">
        <v>537</v>
      </c>
      <c r="I105" s="2" t="s">
        <v>812</v>
      </c>
      <c r="J105" s="14" t="s">
        <v>415</v>
      </c>
      <c r="K105" s="2" t="s">
        <v>548</v>
      </c>
      <c r="L105" s="14" t="s">
        <v>509</v>
      </c>
      <c r="M105" s="14" t="s">
        <v>437</v>
      </c>
      <c r="N105" s="2" t="s">
        <v>1660</v>
      </c>
      <c r="O105" s="10">
        <v>5</v>
      </c>
      <c r="P105" s="10"/>
      <c r="Q105" s="10"/>
      <c r="R105" s="9"/>
      <c r="S105" s="9"/>
      <c r="T105" s="9"/>
      <c r="U105" s="44">
        <v>420</v>
      </c>
      <c r="V105" s="44">
        <v>84</v>
      </c>
      <c r="X105" s="22">
        <v>7</v>
      </c>
      <c r="AB105" s="44"/>
      <c r="AF105" s="22">
        <v>35</v>
      </c>
      <c r="AG105">
        <v>7</v>
      </c>
      <c r="AH105">
        <v>0</v>
      </c>
      <c r="AI105">
        <v>0</v>
      </c>
      <c r="AJ105" s="22">
        <v>7</v>
      </c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BB105" s="7"/>
      <c r="BP105" s="33"/>
      <c r="BS105" s="20"/>
      <c r="BW105" s="44">
        <v>420</v>
      </c>
      <c r="BX105" s="44">
        <v>84</v>
      </c>
      <c r="CJ105">
        <v>1464</v>
      </c>
      <c r="CK105" s="2" t="s">
        <v>548</v>
      </c>
    </row>
    <row r="107" spans="1:90" ht="12.75">
      <c r="A107" s="18">
        <v>1465</v>
      </c>
      <c r="B107" s="14" t="s">
        <v>1117</v>
      </c>
      <c r="C107" s="14" t="s">
        <v>644</v>
      </c>
      <c r="D107" s="14" t="s">
        <v>232</v>
      </c>
      <c r="E107" s="14" t="s">
        <v>10</v>
      </c>
      <c r="F107" s="32" t="s">
        <v>259</v>
      </c>
      <c r="G107" s="2">
        <v>1</v>
      </c>
      <c r="H107" s="2" t="s">
        <v>537</v>
      </c>
      <c r="I107" s="2" t="s">
        <v>832</v>
      </c>
      <c r="J107" s="14" t="s">
        <v>415</v>
      </c>
      <c r="K107" t="s">
        <v>560</v>
      </c>
      <c r="L107" s="14" t="s">
        <v>509</v>
      </c>
      <c r="M107" s="14" t="s">
        <v>434</v>
      </c>
      <c r="N107" s="2" t="s">
        <v>618</v>
      </c>
      <c r="O107" s="10">
        <v>9</v>
      </c>
      <c r="P107" s="10"/>
      <c r="Q107" s="10"/>
      <c r="R107" s="9"/>
      <c r="S107" s="9"/>
      <c r="T107" s="9"/>
      <c r="U107" s="44">
        <v>783</v>
      </c>
      <c r="V107" s="44">
        <v>87</v>
      </c>
      <c r="X107" s="22">
        <v>7.25</v>
      </c>
      <c r="AB107" s="44"/>
      <c r="AF107" s="22">
        <v>65.25</v>
      </c>
      <c r="AG107">
        <v>7</v>
      </c>
      <c r="AH107">
        <v>5</v>
      </c>
      <c r="AI107">
        <v>0</v>
      </c>
      <c r="AJ107" s="22">
        <v>7.25</v>
      </c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W107" s="7"/>
      <c r="BD107" s="7"/>
      <c r="BE107" s="19"/>
      <c r="BF107" s="19"/>
      <c r="BP107" s="33"/>
      <c r="BS107" s="20"/>
      <c r="BW107" s="44">
        <v>783</v>
      </c>
      <c r="BX107" s="44">
        <v>87</v>
      </c>
      <c r="CJ107">
        <v>1465</v>
      </c>
      <c r="CK107" t="s">
        <v>560</v>
      </c>
      <c r="CL107" t="s">
        <v>1179</v>
      </c>
    </row>
    <row r="109" spans="1:89" ht="12.75">
      <c r="A109" s="18">
        <v>1465</v>
      </c>
      <c r="B109" s="14" t="s">
        <v>1239</v>
      </c>
      <c r="C109" s="14" t="s">
        <v>644</v>
      </c>
      <c r="D109" s="14" t="s">
        <v>233</v>
      </c>
      <c r="E109" s="14" t="s">
        <v>34</v>
      </c>
      <c r="F109" s="32" t="s">
        <v>269</v>
      </c>
      <c r="G109" s="2"/>
      <c r="H109" s="2" t="s">
        <v>537</v>
      </c>
      <c r="I109" s="2" t="s">
        <v>836</v>
      </c>
      <c r="J109" s="14" t="s">
        <v>415</v>
      </c>
      <c r="K109" s="2" t="s">
        <v>563</v>
      </c>
      <c r="L109" s="14" t="s">
        <v>509</v>
      </c>
      <c r="M109" s="14" t="s">
        <v>913</v>
      </c>
      <c r="N109" s="2" t="s">
        <v>1660</v>
      </c>
      <c r="O109" s="10">
        <v>9</v>
      </c>
      <c r="P109" s="10"/>
      <c r="Q109" s="10"/>
      <c r="R109" s="9"/>
      <c r="S109" s="9"/>
      <c r="T109" s="9"/>
      <c r="U109" s="44">
        <v>621</v>
      </c>
      <c r="V109" s="44">
        <v>69</v>
      </c>
      <c r="W109" s="22"/>
      <c r="X109" s="22">
        <v>5.75</v>
      </c>
      <c r="AF109" s="22">
        <v>51.75</v>
      </c>
      <c r="AG109">
        <v>5</v>
      </c>
      <c r="AH109">
        <v>15</v>
      </c>
      <c r="AI109">
        <v>0</v>
      </c>
      <c r="AJ109" s="22">
        <v>5.75</v>
      </c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BP109" s="33"/>
      <c r="BS109" s="20"/>
      <c r="BW109" s="44">
        <v>621</v>
      </c>
      <c r="BX109" s="44">
        <v>69</v>
      </c>
      <c r="CJ109">
        <v>1465</v>
      </c>
      <c r="CK109" s="2" t="s">
        <v>563</v>
      </c>
    </row>
    <row r="110" spans="1:89" ht="12.75">
      <c r="A110" s="18">
        <v>1465</v>
      </c>
      <c r="B110" s="14" t="s">
        <v>1239</v>
      </c>
      <c r="C110" s="14" t="s">
        <v>644</v>
      </c>
      <c r="D110" s="14" t="s">
        <v>233</v>
      </c>
      <c r="E110" s="14" t="s">
        <v>34</v>
      </c>
      <c r="F110" s="32" t="s">
        <v>270</v>
      </c>
      <c r="G110" s="2"/>
      <c r="H110" s="2" t="s">
        <v>537</v>
      </c>
      <c r="I110" s="2" t="s">
        <v>837</v>
      </c>
      <c r="J110" s="14" t="s">
        <v>415</v>
      </c>
      <c r="K110" s="2" t="s">
        <v>570</v>
      </c>
      <c r="L110" s="14" t="s">
        <v>507</v>
      </c>
      <c r="M110" s="14" t="s">
        <v>1109</v>
      </c>
      <c r="N110" s="2" t="s">
        <v>1660</v>
      </c>
      <c r="O110" s="10">
        <v>5</v>
      </c>
      <c r="P110" s="10"/>
      <c r="Q110" s="10"/>
      <c r="R110" s="9"/>
      <c r="S110" s="9"/>
      <c r="T110" s="9"/>
      <c r="U110" s="44">
        <v>380.99999999999994</v>
      </c>
      <c r="V110" s="44">
        <v>76.19999999999999</v>
      </c>
      <c r="W110" s="22"/>
      <c r="X110" s="22">
        <v>6.35</v>
      </c>
      <c r="AB110" s="44"/>
      <c r="AF110" s="22">
        <v>31.75</v>
      </c>
      <c r="AG110">
        <v>6</v>
      </c>
      <c r="AH110">
        <v>7</v>
      </c>
      <c r="AI110">
        <v>0</v>
      </c>
      <c r="AJ110" s="22">
        <v>6.35</v>
      </c>
      <c r="BG110" s="7"/>
      <c r="BP110" s="33"/>
      <c r="BS110" s="20"/>
      <c r="BW110" s="44">
        <v>380.99999999999994</v>
      </c>
      <c r="BX110" s="44">
        <v>76.19999999999999</v>
      </c>
      <c r="CJ110">
        <v>1465</v>
      </c>
      <c r="CK110" s="2" t="s">
        <v>570</v>
      </c>
    </row>
    <row r="112" spans="1:89" ht="12.75">
      <c r="A112" s="18">
        <v>1466</v>
      </c>
      <c r="B112" s="14" t="s">
        <v>1117</v>
      </c>
      <c r="C112" s="14" t="s">
        <v>644</v>
      </c>
      <c r="D112" s="14" t="s">
        <v>233</v>
      </c>
      <c r="E112" s="14" t="s">
        <v>34</v>
      </c>
      <c r="F112" s="32" t="s">
        <v>271</v>
      </c>
      <c r="G112" s="2"/>
      <c r="H112" s="2" t="s">
        <v>537</v>
      </c>
      <c r="I112" s="2" t="s">
        <v>1417</v>
      </c>
      <c r="J112" s="14" t="s">
        <v>415</v>
      </c>
      <c r="K112" s="2" t="s">
        <v>560</v>
      </c>
      <c r="L112" s="14" t="s">
        <v>509</v>
      </c>
      <c r="M112" s="14" t="s">
        <v>434</v>
      </c>
      <c r="N112" s="2" t="s">
        <v>618</v>
      </c>
      <c r="O112" s="10">
        <v>4</v>
      </c>
      <c r="P112" s="10"/>
      <c r="Q112" s="10"/>
      <c r="R112" s="9"/>
      <c r="S112" s="9"/>
      <c r="T112" s="9"/>
      <c r="U112" s="44">
        <v>324</v>
      </c>
      <c r="V112" s="44">
        <v>81</v>
      </c>
      <c r="W112" s="22"/>
      <c r="X112" s="22">
        <v>6.75</v>
      </c>
      <c r="AB112" s="44"/>
      <c r="AF112" s="22">
        <v>27</v>
      </c>
      <c r="AG112">
        <v>6</v>
      </c>
      <c r="AH112">
        <v>15</v>
      </c>
      <c r="AI112">
        <v>0</v>
      </c>
      <c r="AJ112" s="22">
        <v>6.75</v>
      </c>
      <c r="BP112" s="33"/>
      <c r="BS112" s="20"/>
      <c r="BW112" s="44">
        <v>324</v>
      </c>
      <c r="BX112" s="44">
        <v>81</v>
      </c>
      <c r="CJ112">
        <v>1466</v>
      </c>
      <c r="CK112" s="2" t="s">
        <v>560</v>
      </c>
    </row>
    <row r="113" spans="1:90" ht="12.75">
      <c r="A113" s="18">
        <v>1466</v>
      </c>
      <c r="B113" s="14" t="s">
        <v>1117</v>
      </c>
      <c r="C113" s="14" t="s">
        <v>644</v>
      </c>
      <c r="D113" s="14" t="s">
        <v>233</v>
      </c>
      <c r="E113" s="14" t="s">
        <v>34</v>
      </c>
      <c r="F113" s="32" t="s">
        <v>275</v>
      </c>
      <c r="G113" s="2"/>
      <c r="H113" s="2" t="s">
        <v>537</v>
      </c>
      <c r="I113" s="2" t="s">
        <v>532</v>
      </c>
      <c r="J113" s="14" t="s">
        <v>1414</v>
      </c>
      <c r="K113" s="2" t="s">
        <v>593</v>
      </c>
      <c r="L113" s="14" t="s">
        <v>509</v>
      </c>
      <c r="M113" s="14" t="s">
        <v>906</v>
      </c>
      <c r="N113" s="2" t="s">
        <v>1437</v>
      </c>
      <c r="O113" s="10">
        <v>9</v>
      </c>
      <c r="P113" s="10"/>
      <c r="Q113" s="10"/>
      <c r="R113" s="9"/>
      <c r="S113" s="9"/>
      <c r="T113" s="9"/>
      <c r="U113" s="44">
        <v>294.3</v>
      </c>
      <c r="V113" s="44">
        <v>32.7</v>
      </c>
      <c r="W113" s="22"/>
      <c r="X113" s="22">
        <v>2.725</v>
      </c>
      <c r="AF113" s="22">
        <v>24.525</v>
      </c>
      <c r="AG113">
        <v>2</v>
      </c>
      <c r="AH113">
        <v>14</v>
      </c>
      <c r="AI113">
        <v>6</v>
      </c>
      <c r="AJ113" s="22">
        <v>2.725</v>
      </c>
      <c r="AL113" s="22">
        <v>2.725</v>
      </c>
      <c r="AM113" s="34"/>
      <c r="AN113" s="34"/>
      <c r="AO113" s="34"/>
      <c r="AP113" s="34"/>
      <c r="AQ113" s="34"/>
      <c r="AR113" s="34"/>
      <c r="AS113" s="34"/>
      <c r="AT113" s="34"/>
      <c r="BP113" s="33"/>
      <c r="BS113" s="20"/>
      <c r="BW113" s="44">
        <v>294.3</v>
      </c>
      <c r="BX113" s="44">
        <v>32.7</v>
      </c>
      <c r="CJ113">
        <v>1466</v>
      </c>
      <c r="CK113" s="2" t="s">
        <v>593</v>
      </c>
      <c r="CL113" t="s">
        <v>1180</v>
      </c>
    </row>
    <row r="114" spans="1:89" ht="12.75">
      <c r="A114" s="18">
        <v>1466</v>
      </c>
      <c r="B114" s="14" t="s">
        <v>1117</v>
      </c>
      <c r="C114" s="14" t="s">
        <v>644</v>
      </c>
      <c r="D114" s="14" t="s">
        <v>233</v>
      </c>
      <c r="E114" s="14" t="s">
        <v>34</v>
      </c>
      <c r="F114" s="32" t="s">
        <v>277</v>
      </c>
      <c r="G114" s="2"/>
      <c r="H114" s="2" t="s">
        <v>537</v>
      </c>
      <c r="I114" s="2" t="s">
        <v>973</v>
      </c>
      <c r="J114" s="14" t="s">
        <v>415</v>
      </c>
      <c r="K114" s="2" t="s">
        <v>585</v>
      </c>
      <c r="L114" s="14" t="s">
        <v>509</v>
      </c>
      <c r="M114" s="14" t="s">
        <v>906</v>
      </c>
      <c r="N114" s="2" t="s">
        <v>366</v>
      </c>
      <c r="O114" s="10">
        <v>1</v>
      </c>
      <c r="P114" s="10"/>
      <c r="Q114" s="10"/>
      <c r="R114" s="9"/>
      <c r="S114" s="9"/>
      <c r="T114" s="9"/>
      <c r="U114" s="44">
        <v>28.799999999999997</v>
      </c>
      <c r="V114" s="44">
        <v>28.799999999999997</v>
      </c>
      <c r="W114" s="22"/>
      <c r="X114" s="22">
        <v>2.4</v>
      </c>
      <c r="AC114">
        <v>2</v>
      </c>
      <c r="AD114">
        <v>8</v>
      </c>
      <c r="AE114">
        <v>0</v>
      </c>
      <c r="AF114" s="22">
        <v>2.4</v>
      </c>
      <c r="AG114">
        <v>2</v>
      </c>
      <c r="AH114">
        <v>8</v>
      </c>
      <c r="AI114">
        <v>0</v>
      </c>
      <c r="AJ114" s="22">
        <v>2.4</v>
      </c>
      <c r="AL114" s="34"/>
      <c r="AM114" s="34"/>
      <c r="AN114" s="34"/>
      <c r="AO114" s="34"/>
      <c r="AP114" s="34"/>
      <c r="AQ114" s="34"/>
      <c r="AR114" s="34"/>
      <c r="AS114" s="34"/>
      <c r="AT114" s="34"/>
      <c r="BG114" s="22">
        <v>2.4</v>
      </c>
      <c r="BP114" s="33"/>
      <c r="BS114" s="20"/>
      <c r="BW114" s="44">
        <v>28.799999999999997</v>
      </c>
      <c r="BX114" s="44">
        <v>28.799999999999997</v>
      </c>
      <c r="CJ114">
        <v>1466</v>
      </c>
      <c r="CK114" s="2" t="s">
        <v>585</v>
      </c>
    </row>
    <row r="116" spans="1:90" ht="12.75">
      <c r="A116" s="18">
        <v>1466</v>
      </c>
      <c r="B116" s="14" t="s">
        <v>1239</v>
      </c>
      <c r="C116" s="14" t="s">
        <v>644</v>
      </c>
      <c r="D116" s="14" t="s">
        <v>234</v>
      </c>
      <c r="E116" s="14" t="s">
        <v>10</v>
      </c>
      <c r="F116" s="32" t="s">
        <v>278</v>
      </c>
      <c r="G116" s="2"/>
      <c r="H116" s="2" t="s">
        <v>537</v>
      </c>
      <c r="I116" s="2" t="s">
        <v>805</v>
      </c>
      <c r="J116" s="14" t="s">
        <v>415</v>
      </c>
      <c r="K116" s="2" t="s">
        <v>568</v>
      </c>
      <c r="L116" s="14" t="s">
        <v>509</v>
      </c>
      <c r="M116" s="14" t="s">
        <v>906</v>
      </c>
      <c r="N116" s="2" t="s">
        <v>1660</v>
      </c>
      <c r="O116" s="10">
        <v>14</v>
      </c>
      <c r="P116" s="10"/>
      <c r="Q116" s="10"/>
      <c r="R116" s="9"/>
      <c r="S116" s="9"/>
      <c r="T116" s="9"/>
      <c r="U116" s="44">
        <v>1050</v>
      </c>
      <c r="V116" s="44">
        <v>75</v>
      </c>
      <c r="W116" s="22"/>
      <c r="X116" s="22">
        <v>6.25</v>
      </c>
      <c r="AC116">
        <v>87</v>
      </c>
      <c r="AD116">
        <v>10</v>
      </c>
      <c r="AE116">
        <v>0</v>
      </c>
      <c r="AF116" s="22">
        <v>87.5</v>
      </c>
      <c r="AG116">
        <v>6</v>
      </c>
      <c r="AH116">
        <v>5</v>
      </c>
      <c r="AI116">
        <v>0</v>
      </c>
      <c r="AJ116" s="22">
        <v>6.25</v>
      </c>
      <c r="BW116" s="44">
        <v>1050</v>
      </c>
      <c r="BX116" s="44">
        <v>75</v>
      </c>
      <c r="CJ116">
        <v>1466</v>
      </c>
      <c r="CK116" s="2" t="s">
        <v>568</v>
      </c>
      <c r="CL116" t="s">
        <v>1188</v>
      </c>
    </row>
    <row r="118" spans="1:89" ht="12.75">
      <c r="A118" s="18">
        <v>1467</v>
      </c>
      <c r="B118" s="14" t="s">
        <v>1117</v>
      </c>
      <c r="C118" s="14" t="s">
        <v>644</v>
      </c>
      <c r="D118" s="14" t="s">
        <v>234</v>
      </c>
      <c r="E118" s="14" t="s">
        <v>34</v>
      </c>
      <c r="F118" s="32" t="s">
        <v>279</v>
      </c>
      <c r="G118" s="2"/>
      <c r="H118" s="2" t="s">
        <v>537</v>
      </c>
      <c r="I118" s="2" t="s">
        <v>803</v>
      </c>
      <c r="J118" s="14" t="s">
        <v>415</v>
      </c>
      <c r="K118" s="2" t="s">
        <v>559</v>
      </c>
      <c r="L118" s="14" t="s">
        <v>509</v>
      </c>
      <c r="M118" s="14" t="s">
        <v>435</v>
      </c>
      <c r="N118" s="2" t="s">
        <v>618</v>
      </c>
      <c r="O118" s="10">
        <v>14</v>
      </c>
      <c r="P118" s="10"/>
      <c r="Q118" s="10"/>
      <c r="R118" s="9"/>
      <c r="S118" s="9"/>
      <c r="T118" s="9"/>
      <c r="U118" s="44">
        <v>1411.2000000000003</v>
      </c>
      <c r="V118" s="44">
        <v>100.80000000000001</v>
      </c>
      <c r="W118" s="22"/>
      <c r="X118" s="22">
        <v>8.4</v>
      </c>
      <c r="AF118" s="22">
        <v>117.6</v>
      </c>
      <c r="AG118">
        <v>8</v>
      </c>
      <c r="AH118">
        <v>8</v>
      </c>
      <c r="AI118">
        <v>0</v>
      </c>
      <c r="AJ118" s="22">
        <v>8.4</v>
      </c>
      <c r="BG118" s="22"/>
      <c r="BW118" s="44">
        <v>1411.2000000000003</v>
      </c>
      <c r="BX118" s="44">
        <v>100.80000000000003</v>
      </c>
      <c r="CJ118">
        <v>1467</v>
      </c>
      <c r="CK118" s="2" t="s">
        <v>559</v>
      </c>
    </row>
    <row r="120" spans="1:89" ht="12.75">
      <c r="A120" s="18">
        <v>1467</v>
      </c>
      <c r="B120" s="14" t="s">
        <v>1239</v>
      </c>
      <c r="C120" s="14" t="s">
        <v>644</v>
      </c>
      <c r="D120" s="14" t="s">
        <v>364</v>
      </c>
      <c r="E120" s="14" t="s">
        <v>34</v>
      </c>
      <c r="F120" s="32" t="s">
        <v>284</v>
      </c>
      <c r="G120" s="2"/>
      <c r="H120" s="2" t="s">
        <v>537</v>
      </c>
      <c r="I120" s="2" t="s">
        <v>608</v>
      </c>
      <c r="J120" s="14" t="s">
        <v>415</v>
      </c>
      <c r="K120" s="2" t="s">
        <v>589</v>
      </c>
      <c r="L120" s="14" t="s">
        <v>507</v>
      </c>
      <c r="M120" s="14" t="s">
        <v>1109</v>
      </c>
      <c r="N120" s="2" t="s">
        <v>1660</v>
      </c>
      <c r="O120" s="10">
        <v>6</v>
      </c>
      <c r="P120" s="10"/>
      <c r="Q120" s="10"/>
      <c r="R120" s="9"/>
      <c r="S120" s="9"/>
      <c r="T120" s="9"/>
      <c r="U120" s="44">
        <v>453.6</v>
      </c>
      <c r="V120" s="44">
        <v>75.6</v>
      </c>
      <c r="W120" s="22"/>
      <c r="X120" s="22">
        <v>6.3</v>
      </c>
      <c r="AC120">
        <v>37</v>
      </c>
      <c r="AD120">
        <v>16</v>
      </c>
      <c r="AE120">
        <v>0</v>
      </c>
      <c r="AF120" s="22">
        <v>37.8</v>
      </c>
      <c r="AG120">
        <v>6</v>
      </c>
      <c r="AH120">
        <v>6</v>
      </c>
      <c r="AI120">
        <v>0</v>
      </c>
      <c r="AJ120" s="22">
        <v>6.3</v>
      </c>
      <c r="BW120" s="44">
        <v>453.6</v>
      </c>
      <c r="BX120" s="44">
        <v>75.6</v>
      </c>
      <c r="CJ120">
        <v>1467</v>
      </c>
      <c r="CK120" s="2" t="s">
        <v>589</v>
      </c>
    </row>
    <row r="121" spans="1:89" ht="12.75">
      <c r="A121" s="18">
        <v>1467</v>
      </c>
      <c r="B121" s="14" t="s">
        <v>1239</v>
      </c>
      <c r="C121" s="14" t="s">
        <v>644</v>
      </c>
      <c r="D121" s="14" t="s">
        <v>364</v>
      </c>
      <c r="E121" s="14" t="s">
        <v>34</v>
      </c>
      <c r="F121" s="32" t="s">
        <v>286</v>
      </c>
      <c r="G121" s="2"/>
      <c r="H121" s="2" t="s">
        <v>537</v>
      </c>
      <c r="I121" s="2" t="s">
        <v>978</v>
      </c>
      <c r="J121" s="14" t="s">
        <v>415</v>
      </c>
      <c r="K121" s="2" t="s">
        <v>568</v>
      </c>
      <c r="L121" s="14" t="s">
        <v>509</v>
      </c>
      <c r="M121" s="14" t="s">
        <v>906</v>
      </c>
      <c r="N121" s="2" t="s">
        <v>1660</v>
      </c>
      <c r="O121" s="10">
        <v>5</v>
      </c>
      <c r="P121" s="10"/>
      <c r="Q121" s="10"/>
      <c r="R121" s="9"/>
      <c r="S121" s="9"/>
      <c r="T121" s="9"/>
      <c r="U121" s="44">
        <v>348</v>
      </c>
      <c r="V121" s="44">
        <v>69.6</v>
      </c>
      <c r="W121" s="22"/>
      <c r="X121" s="22">
        <v>5.8</v>
      </c>
      <c r="AC121">
        <v>29</v>
      </c>
      <c r="AD121">
        <v>0</v>
      </c>
      <c r="AE121">
        <v>0</v>
      </c>
      <c r="AF121" s="22">
        <v>29</v>
      </c>
      <c r="AG121">
        <v>5</v>
      </c>
      <c r="AH121">
        <v>16</v>
      </c>
      <c r="AI121">
        <v>0</v>
      </c>
      <c r="AJ121" s="22">
        <v>5.8</v>
      </c>
      <c r="BW121" s="44">
        <v>348</v>
      </c>
      <c r="BX121" s="44">
        <v>69.6</v>
      </c>
      <c r="CJ121">
        <v>1467</v>
      </c>
      <c r="CK121" s="2" t="s">
        <v>568</v>
      </c>
    </row>
    <row r="122" spans="1:89" ht="12.75">
      <c r="A122" s="18">
        <v>1467</v>
      </c>
      <c r="B122" s="14" t="s">
        <v>1239</v>
      </c>
      <c r="C122" s="14" t="s">
        <v>644</v>
      </c>
      <c r="D122" s="14" t="s">
        <v>364</v>
      </c>
      <c r="E122" s="14" t="s">
        <v>34</v>
      </c>
      <c r="F122" s="32" t="s">
        <v>287</v>
      </c>
      <c r="G122" s="2"/>
      <c r="H122" s="2" t="s">
        <v>537</v>
      </c>
      <c r="I122" s="2" t="s">
        <v>804</v>
      </c>
      <c r="J122" s="14" t="s">
        <v>415</v>
      </c>
      <c r="K122" s="2" t="s">
        <v>570</v>
      </c>
      <c r="L122" s="14" t="s">
        <v>507</v>
      </c>
      <c r="M122" s="14" t="s">
        <v>1109</v>
      </c>
      <c r="N122" s="2" t="s">
        <v>1660</v>
      </c>
      <c r="O122" s="10">
        <v>1</v>
      </c>
      <c r="P122" s="10"/>
      <c r="Q122" s="10"/>
      <c r="R122" s="9"/>
      <c r="S122" s="9"/>
      <c r="T122" s="9"/>
      <c r="U122" s="44">
        <v>25.200000000000003</v>
      </c>
      <c r="V122" s="44">
        <v>25.200000000000003</v>
      </c>
      <c r="W122" s="22"/>
      <c r="X122" s="22">
        <v>2.1</v>
      </c>
      <c r="AC122">
        <v>2</v>
      </c>
      <c r="AD122">
        <v>2</v>
      </c>
      <c r="AE122">
        <v>0</v>
      </c>
      <c r="AF122" s="22">
        <v>2.1</v>
      </c>
      <c r="AG122">
        <v>2</v>
      </c>
      <c r="AH122">
        <v>2</v>
      </c>
      <c r="AI122">
        <v>0</v>
      </c>
      <c r="AJ122" s="22">
        <v>2.1</v>
      </c>
      <c r="BW122" s="44">
        <v>25.200000000000003</v>
      </c>
      <c r="BX122" s="44">
        <v>25.200000000000003</v>
      </c>
      <c r="CJ122">
        <v>1467</v>
      </c>
      <c r="CK122" s="2" t="s">
        <v>570</v>
      </c>
    </row>
    <row r="124" spans="1:89" ht="12.75">
      <c r="A124" s="18">
        <v>1468</v>
      </c>
      <c r="B124" s="14" t="s">
        <v>1117</v>
      </c>
      <c r="C124" s="14" t="s">
        <v>644</v>
      </c>
      <c r="D124" s="14" t="s">
        <v>364</v>
      </c>
      <c r="E124" s="14" t="s">
        <v>35</v>
      </c>
      <c r="F124" s="32" t="s">
        <v>288</v>
      </c>
      <c r="G124" s="2">
        <v>1</v>
      </c>
      <c r="H124" s="2" t="s">
        <v>541</v>
      </c>
      <c r="I124" s="2" t="s">
        <v>883</v>
      </c>
      <c r="J124" s="14" t="s">
        <v>415</v>
      </c>
      <c r="K124" s="2" t="s">
        <v>835</v>
      </c>
      <c r="L124" s="14" t="s">
        <v>510</v>
      </c>
      <c r="M124" s="14" t="s">
        <v>445</v>
      </c>
      <c r="N124" s="2" t="s">
        <v>618</v>
      </c>
      <c r="O124" s="10">
        <v>15</v>
      </c>
      <c r="P124" s="10"/>
      <c r="Q124" s="10"/>
      <c r="R124" s="9"/>
      <c r="S124" s="9"/>
      <c r="T124" s="9"/>
      <c r="U124" s="44">
        <v>1277.9999999999998</v>
      </c>
      <c r="V124" s="44">
        <v>85.19999999999999</v>
      </c>
      <c r="W124" s="22"/>
      <c r="X124" s="22">
        <v>7.1</v>
      </c>
      <c r="AC124">
        <v>106</v>
      </c>
      <c r="AD124">
        <v>10</v>
      </c>
      <c r="AE124">
        <v>0</v>
      </c>
      <c r="AF124" s="22">
        <v>106.5</v>
      </c>
      <c r="AG124">
        <v>7</v>
      </c>
      <c r="AH124">
        <v>2</v>
      </c>
      <c r="AI124">
        <v>0</v>
      </c>
      <c r="AJ124" s="22">
        <v>7.1</v>
      </c>
      <c r="BW124" s="44">
        <v>1277.9999999999998</v>
      </c>
      <c r="BX124" s="44">
        <v>85.19999999999999</v>
      </c>
      <c r="CJ124">
        <v>1468</v>
      </c>
      <c r="CK124" s="2" t="s">
        <v>835</v>
      </c>
    </row>
    <row r="126" spans="1:90" ht="12.75">
      <c r="A126" s="18">
        <v>1468</v>
      </c>
      <c r="B126" s="14" t="s">
        <v>1239</v>
      </c>
      <c r="C126" s="14" t="s">
        <v>644</v>
      </c>
      <c r="D126" s="14" t="s">
        <v>365</v>
      </c>
      <c r="E126" s="14" t="s">
        <v>369</v>
      </c>
      <c r="F126" s="32" t="s">
        <v>299</v>
      </c>
      <c r="G126" s="2"/>
      <c r="H126" s="2" t="s">
        <v>537</v>
      </c>
      <c r="I126" s="2" t="s">
        <v>802</v>
      </c>
      <c r="J126" s="14" t="s">
        <v>415</v>
      </c>
      <c r="K126" s="2" t="s">
        <v>553</v>
      </c>
      <c r="L126" s="14" t="s">
        <v>509</v>
      </c>
      <c r="M126" s="14" t="s">
        <v>437</v>
      </c>
      <c r="N126" s="2" t="s">
        <v>1660</v>
      </c>
      <c r="O126" s="10">
        <v>5</v>
      </c>
      <c r="P126" s="10"/>
      <c r="Q126" s="10"/>
      <c r="R126" s="9"/>
      <c r="S126" s="9"/>
      <c r="T126" s="9"/>
      <c r="U126" s="44">
        <v>408</v>
      </c>
      <c r="V126" s="44">
        <v>81.6</v>
      </c>
      <c r="W126" s="22"/>
      <c r="X126" s="22">
        <v>6.8</v>
      </c>
      <c r="AC126">
        <v>34</v>
      </c>
      <c r="AD126">
        <v>0</v>
      </c>
      <c r="AE126">
        <v>0</v>
      </c>
      <c r="AF126" s="22">
        <v>34</v>
      </c>
      <c r="AG126">
        <v>6</v>
      </c>
      <c r="AH126">
        <v>16</v>
      </c>
      <c r="AI126">
        <v>0</v>
      </c>
      <c r="AJ126" s="22">
        <v>6.8</v>
      </c>
      <c r="BO126" s="22">
        <v>0.3358333333333333</v>
      </c>
      <c r="BP126" s="34">
        <v>7.135833333333333</v>
      </c>
      <c r="BS126" s="20">
        <v>0.04706294522947565</v>
      </c>
      <c r="BW126" s="44">
        <v>428.15</v>
      </c>
      <c r="BX126" s="44">
        <v>85.63</v>
      </c>
      <c r="CJ126">
        <v>1468</v>
      </c>
      <c r="CK126" s="2" t="s">
        <v>553</v>
      </c>
      <c r="CL126" t="s">
        <v>86</v>
      </c>
    </row>
    <row r="128" spans="1:89" ht="12.75">
      <c r="A128" s="18">
        <v>1469</v>
      </c>
      <c r="B128" s="14" t="s">
        <v>1117</v>
      </c>
      <c r="C128" s="14" t="s">
        <v>644</v>
      </c>
      <c r="D128" s="14" t="s">
        <v>365</v>
      </c>
      <c r="E128" s="14" t="s">
        <v>370</v>
      </c>
      <c r="F128" s="32" t="s">
        <v>302</v>
      </c>
      <c r="G128" s="2">
        <v>1</v>
      </c>
      <c r="H128" s="2" t="s">
        <v>537</v>
      </c>
      <c r="I128" s="2" t="s">
        <v>801</v>
      </c>
      <c r="J128" s="14" t="s">
        <v>415</v>
      </c>
      <c r="K128" s="2" t="s">
        <v>549</v>
      </c>
      <c r="L128" s="14" t="s">
        <v>509</v>
      </c>
      <c r="M128" s="14" t="s">
        <v>416</v>
      </c>
      <c r="N128" s="2" t="s">
        <v>618</v>
      </c>
      <c r="O128" s="10">
        <v>5</v>
      </c>
      <c r="P128" s="10"/>
      <c r="Q128" s="10"/>
      <c r="R128" s="9"/>
      <c r="S128" s="9"/>
      <c r="T128" s="9"/>
      <c r="U128" s="44">
        <v>540</v>
      </c>
      <c r="V128" s="44">
        <v>108</v>
      </c>
      <c r="W128" s="22"/>
      <c r="X128" s="22">
        <v>9</v>
      </c>
      <c r="AC128">
        <v>45</v>
      </c>
      <c r="AD128">
        <v>0</v>
      </c>
      <c r="AE128">
        <v>0</v>
      </c>
      <c r="AF128" s="22">
        <v>45</v>
      </c>
      <c r="AG128">
        <v>9</v>
      </c>
      <c r="AH128">
        <v>0</v>
      </c>
      <c r="AI128">
        <v>0</v>
      </c>
      <c r="AJ128" s="22">
        <v>9</v>
      </c>
      <c r="BW128" s="44">
        <v>540</v>
      </c>
      <c r="BX128" s="44">
        <v>108</v>
      </c>
      <c r="CJ128">
        <v>1469</v>
      </c>
      <c r="CK128" s="2" t="s">
        <v>549</v>
      </c>
    </row>
    <row r="129" spans="1:89" ht="12.75">
      <c r="A129" s="18">
        <v>1469</v>
      </c>
      <c r="B129" s="14" t="s">
        <v>1117</v>
      </c>
      <c r="C129" s="14" t="s">
        <v>644</v>
      </c>
      <c r="D129" s="14" t="s">
        <v>365</v>
      </c>
      <c r="E129" s="14" t="s">
        <v>370</v>
      </c>
      <c r="F129" s="32" t="s">
        <v>303</v>
      </c>
      <c r="G129" s="2">
        <v>1</v>
      </c>
      <c r="H129" s="2" t="s">
        <v>537</v>
      </c>
      <c r="I129" s="2" t="s">
        <v>985</v>
      </c>
      <c r="J129" s="14" t="s">
        <v>1414</v>
      </c>
      <c r="K129" s="2" t="s">
        <v>593</v>
      </c>
      <c r="L129" s="14" t="s">
        <v>509</v>
      </c>
      <c r="M129" s="14" t="s">
        <v>906</v>
      </c>
      <c r="N129" s="2" t="s">
        <v>1436</v>
      </c>
      <c r="O129" s="10">
        <v>1</v>
      </c>
      <c r="P129" s="10"/>
      <c r="Q129" s="10"/>
      <c r="R129" s="9"/>
      <c r="S129" s="9"/>
      <c r="T129" s="9"/>
      <c r="U129" s="44">
        <v>36</v>
      </c>
      <c r="V129" s="44">
        <v>36</v>
      </c>
      <c r="W129" s="22"/>
      <c r="X129" s="22">
        <v>3</v>
      </c>
      <c r="AC129">
        <v>3</v>
      </c>
      <c r="AD129">
        <v>0</v>
      </c>
      <c r="AE129">
        <v>0</v>
      </c>
      <c r="AF129" s="22">
        <v>3</v>
      </c>
      <c r="AG129">
        <v>3</v>
      </c>
      <c r="AH129">
        <v>0</v>
      </c>
      <c r="AI129">
        <v>0</v>
      </c>
      <c r="AJ129" s="22">
        <v>3</v>
      </c>
      <c r="AL129" s="22">
        <v>3</v>
      </c>
      <c r="BW129" s="44">
        <v>36</v>
      </c>
      <c r="BX129" s="44">
        <v>36</v>
      </c>
      <c r="CJ129">
        <v>1469</v>
      </c>
      <c r="CK129" s="2" t="s">
        <v>593</v>
      </c>
    </row>
    <row r="130" spans="1:89" ht="12.75">
      <c r="A130" s="18">
        <v>1469</v>
      </c>
      <c r="B130" s="14" t="s">
        <v>1117</v>
      </c>
      <c r="C130" s="14" t="s">
        <v>644</v>
      </c>
      <c r="D130" s="14" t="s">
        <v>365</v>
      </c>
      <c r="E130" s="14" t="s">
        <v>370</v>
      </c>
      <c r="F130" s="32" t="s">
        <v>304</v>
      </c>
      <c r="G130" s="2">
        <v>1</v>
      </c>
      <c r="H130" s="2" t="s">
        <v>537</v>
      </c>
      <c r="I130" s="2" t="s">
        <v>985</v>
      </c>
      <c r="J130" s="14" t="s">
        <v>1414</v>
      </c>
      <c r="K130" s="2" t="s">
        <v>593</v>
      </c>
      <c r="L130" s="14" t="s">
        <v>509</v>
      </c>
      <c r="M130" s="14" t="s">
        <v>906</v>
      </c>
      <c r="N130" s="2" t="s">
        <v>1436</v>
      </c>
      <c r="O130" s="10">
        <v>1</v>
      </c>
      <c r="P130" s="10"/>
      <c r="Q130" s="10"/>
      <c r="R130" s="9"/>
      <c r="S130" s="9"/>
      <c r="T130" s="9"/>
      <c r="U130" s="44">
        <v>34.8</v>
      </c>
      <c r="V130" s="44">
        <v>34.8</v>
      </c>
      <c r="W130" s="22"/>
      <c r="X130" s="22">
        <v>2.9</v>
      </c>
      <c r="AC130">
        <v>2</v>
      </c>
      <c r="AD130">
        <v>18</v>
      </c>
      <c r="AE130">
        <v>0</v>
      </c>
      <c r="AF130" s="22">
        <v>2.9</v>
      </c>
      <c r="AG130">
        <v>2</v>
      </c>
      <c r="AH130">
        <v>18</v>
      </c>
      <c r="AI130">
        <v>0</v>
      </c>
      <c r="AJ130" s="22">
        <v>2.9</v>
      </c>
      <c r="AL130" s="22">
        <v>2.9</v>
      </c>
      <c r="BW130" s="44">
        <v>34.8</v>
      </c>
      <c r="BX130" s="44">
        <v>34.8</v>
      </c>
      <c r="CJ130">
        <v>1469</v>
      </c>
      <c r="CK130" s="2" t="s">
        <v>593</v>
      </c>
    </row>
    <row r="131" spans="1:89" ht="12.75">
      <c r="A131" s="18">
        <v>1469</v>
      </c>
      <c r="B131" s="14" t="s">
        <v>1117</v>
      </c>
      <c r="C131" s="14" t="s">
        <v>644</v>
      </c>
      <c r="D131" s="14" t="s">
        <v>365</v>
      </c>
      <c r="E131" s="14" t="s">
        <v>370</v>
      </c>
      <c r="F131" s="32" t="s">
        <v>305</v>
      </c>
      <c r="G131" s="2">
        <v>1</v>
      </c>
      <c r="H131" s="2" t="s">
        <v>537</v>
      </c>
      <c r="I131" s="2" t="s">
        <v>985</v>
      </c>
      <c r="J131" s="14" t="s">
        <v>1414</v>
      </c>
      <c r="K131" s="2" t="s">
        <v>593</v>
      </c>
      <c r="L131" s="14" t="s">
        <v>509</v>
      </c>
      <c r="M131" s="14" t="s">
        <v>906</v>
      </c>
      <c r="N131" s="2" t="s">
        <v>1436</v>
      </c>
      <c r="O131" s="10">
        <v>1</v>
      </c>
      <c r="P131" s="10"/>
      <c r="Q131" s="10"/>
      <c r="R131" s="9"/>
      <c r="S131" s="9"/>
      <c r="T131" s="9"/>
      <c r="U131" s="44">
        <v>31.3</v>
      </c>
      <c r="V131" s="44">
        <v>31.3</v>
      </c>
      <c r="W131" s="22"/>
      <c r="X131" s="22">
        <v>2.6083333333333334</v>
      </c>
      <c r="AC131">
        <v>2</v>
      </c>
      <c r="AD131">
        <v>12</v>
      </c>
      <c r="AE131">
        <v>2</v>
      </c>
      <c r="AF131" s="22">
        <v>2.6083333333333334</v>
      </c>
      <c r="AG131">
        <v>2</v>
      </c>
      <c r="AH131">
        <v>12</v>
      </c>
      <c r="AI131">
        <v>2</v>
      </c>
      <c r="AJ131" s="22">
        <v>2.6083333333333334</v>
      </c>
      <c r="AL131" s="22">
        <v>2.6083333333333334</v>
      </c>
      <c r="BW131" s="44">
        <v>31.3</v>
      </c>
      <c r="BX131" s="44">
        <v>31.3</v>
      </c>
      <c r="CJ131">
        <v>1469</v>
      </c>
      <c r="CK131" s="2" t="s">
        <v>593</v>
      </c>
    </row>
    <row r="132" spans="1:89" ht="12.75">
      <c r="A132" s="18">
        <v>1469</v>
      </c>
      <c r="B132" s="14" t="s">
        <v>1117</v>
      </c>
      <c r="C132" s="14" t="s">
        <v>644</v>
      </c>
      <c r="D132" s="14" t="s">
        <v>365</v>
      </c>
      <c r="E132" s="14" t="s">
        <v>370</v>
      </c>
      <c r="F132" s="32" t="s">
        <v>306</v>
      </c>
      <c r="G132" s="2">
        <v>1</v>
      </c>
      <c r="H132" s="2" t="s">
        <v>537</v>
      </c>
      <c r="I132" s="2" t="s">
        <v>985</v>
      </c>
      <c r="J132" s="14" t="s">
        <v>1414</v>
      </c>
      <c r="K132" s="2" t="s">
        <v>593</v>
      </c>
      <c r="L132" s="14" t="s">
        <v>509</v>
      </c>
      <c r="M132" s="14" t="s">
        <v>906</v>
      </c>
      <c r="N132" s="2" t="s">
        <v>1436</v>
      </c>
      <c r="O132" s="10">
        <v>1</v>
      </c>
      <c r="P132" s="10"/>
      <c r="Q132" s="10"/>
      <c r="R132" s="9"/>
      <c r="S132" s="9"/>
      <c r="T132" s="9"/>
      <c r="U132" s="44">
        <v>33.599999999999994</v>
      </c>
      <c r="V132" s="44">
        <v>33.599999999999994</v>
      </c>
      <c r="W132" s="22"/>
      <c r="X132" s="22">
        <v>2.8</v>
      </c>
      <c r="AC132">
        <v>2</v>
      </c>
      <c r="AD132">
        <v>16</v>
      </c>
      <c r="AE132">
        <v>0</v>
      </c>
      <c r="AF132" s="22">
        <v>2.8</v>
      </c>
      <c r="AG132">
        <v>2</v>
      </c>
      <c r="AH132">
        <v>16</v>
      </c>
      <c r="AI132">
        <v>0</v>
      </c>
      <c r="AJ132" s="22">
        <v>2.8</v>
      </c>
      <c r="AL132" s="22">
        <v>2.8</v>
      </c>
      <c r="BW132" s="44">
        <v>33.599999999999994</v>
      </c>
      <c r="BX132" s="44">
        <v>33.599999999999994</v>
      </c>
      <c r="CJ132">
        <v>1469</v>
      </c>
      <c r="CK132" s="2" t="s">
        <v>593</v>
      </c>
    </row>
    <row r="133" spans="1:89" ht="12.75">
      <c r="A133" s="18">
        <v>1469</v>
      </c>
      <c r="B133" s="14" t="s">
        <v>1117</v>
      </c>
      <c r="C133" s="14" t="s">
        <v>644</v>
      </c>
      <c r="D133" s="14" t="s">
        <v>365</v>
      </c>
      <c r="E133" s="14" t="s">
        <v>370</v>
      </c>
      <c r="F133" s="32" t="s">
        <v>307</v>
      </c>
      <c r="G133" s="2">
        <v>1</v>
      </c>
      <c r="H133" s="2" t="s">
        <v>537</v>
      </c>
      <c r="I133" s="2" t="s">
        <v>985</v>
      </c>
      <c r="J133" s="14" t="s">
        <v>1414</v>
      </c>
      <c r="K133" s="2" t="s">
        <v>593</v>
      </c>
      <c r="L133" s="14" t="s">
        <v>509</v>
      </c>
      <c r="M133" s="14" t="s">
        <v>906</v>
      </c>
      <c r="N133" s="2" t="s">
        <v>1436</v>
      </c>
      <c r="O133" s="10">
        <v>1</v>
      </c>
      <c r="P133" s="10"/>
      <c r="Q133" s="10"/>
      <c r="R133" s="9"/>
      <c r="S133" s="9"/>
      <c r="T133" s="9"/>
      <c r="U133" s="44">
        <v>31.799999999999997</v>
      </c>
      <c r="V133" s="44">
        <v>31.799999999999997</v>
      </c>
      <c r="W133" s="22"/>
      <c r="X133" s="22">
        <v>2.65</v>
      </c>
      <c r="AC133">
        <v>2</v>
      </c>
      <c r="AD133">
        <v>13</v>
      </c>
      <c r="AE133">
        <v>0</v>
      </c>
      <c r="AF133" s="22">
        <v>2.65</v>
      </c>
      <c r="AG133">
        <v>2</v>
      </c>
      <c r="AH133">
        <v>13</v>
      </c>
      <c r="AI133">
        <v>0</v>
      </c>
      <c r="AJ133" s="22">
        <v>2.65</v>
      </c>
      <c r="AL133" s="22">
        <v>2.65</v>
      </c>
      <c r="BW133" s="44">
        <v>31.799999999999997</v>
      </c>
      <c r="BX133" s="44">
        <v>31.799999999999997</v>
      </c>
      <c r="CJ133">
        <v>1469</v>
      </c>
      <c r="CK133" s="2" t="s">
        <v>593</v>
      </c>
    </row>
    <row r="134" spans="1:89" ht="12.75">
      <c r="A134" s="18">
        <v>1469</v>
      </c>
      <c r="B134" s="14" t="s">
        <v>1117</v>
      </c>
      <c r="C134" s="14" t="s">
        <v>644</v>
      </c>
      <c r="D134" s="14" t="s">
        <v>365</v>
      </c>
      <c r="E134" s="14" t="s">
        <v>370</v>
      </c>
      <c r="F134" s="32" t="s">
        <v>308</v>
      </c>
      <c r="G134" s="2">
        <v>1</v>
      </c>
      <c r="H134" s="2" t="s">
        <v>537</v>
      </c>
      <c r="I134" s="2" t="s">
        <v>581</v>
      </c>
      <c r="J134" s="14" t="s">
        <v>415</v>
      </c>
      <c r="K134" s="2" t="s">
        <v>587</v>
      </c>
      <c r="L134" s="14" t="s">
        <v>509</v>
      </c>
      <c r="M134" s="14" t="s">
        <v>906</v>
      </c>
      <c r="N134" s="2" t="s">
        <v>1436</v>
      </c>
      <c r="O134" s="10">
        <v>2</v>
      </c>
      <c r="P134" s="10"/>
      <c r="Q134" s="10"/>
      <c r="R134" s="9"/>
      <c r="S134" s="9"/>
      <c r="T134" s="9"/>
      <c r="U134" s="44">
        <v>64.80000000000001</v>
      </c>
      <c r="V134" s="44">
        <v>32.400000000000006</v>
      </c>
      <c r="W134" s="22"/>
      <c r="X134" s="22">
        <v>2.7</v>
      </c>
      <c r="AF134" s="22">
        <v>5.4</v>
      </c>
      <c r="AG134">
        <v>2</v>
      </c>
      <c r="AH134">
        <v>14</v>
      </c>
      <c r="AI134">
        <v>0</v>
      </c>
      <c r="AJ134" s="22">
        <v>2.7</v>
      </c>
      <c r="BD134" s="22">
        <v>2.7</v>
      </c>
      <c r="BG134" s="22">
        <v>2.7</v>
      </c>
      <c r="BW134" s="44">
        <v>64.80000000000001</v>
      </c>
      <c r="BX134" s="44">
        <v>32.400000000000006</v>
      </c>
      <c r="CJ134">
        <v>1469</v>
      </c>
      <c r="CK134" s="2" t="s">
        <v>587</v>
      </c>
    </row>
    <row r="135" spans="1:89" ht="12.75">
      <c r="A135" s="18">
        <v>1469</v>
      </c>
      <c r="B135" s="14" t="s">
        <v>1117</v>
      </c>
      <c r="C135" s="14" t="s">
        <v>644</v>
      </c>
      <c r="D135" s="14" t="s">
        <v>365</v>
      </c>
      <c r="E135" s="14" t="s">
        <v>370</v>
      </c>
      <c r="F135" s="32" t="s">
        <v>309</v>
      </c>
      <c r="G135" s="2">
        <v>1</v>
      </c>
      <c r="H135" s="2" t="s">
        <v>537</v>
      </c>
      <c r="I135" s="2" t="s">
        <v>528</v>
      </c>
      <c r="J135" s="14" t="s">
        <v>415</v>
      </c>
      <c r="K135" s="2" t="s">
        <v>545</v>
      </c>
      <c r="L135" s="14" t="s">
        <v>509</v>
      </c>
      <c r="M135" s="14" t="s">
        <v>906</v>
      </c>
      <c r="N135" s="2" t="s">
        <v>5</v>
      </c>
      <c r="O135" s="10">
        <v>1</v>
      </c>
      <c r="P135" s="10"/>
      <c r="Q135" s="10"/>
      <c r="R135" s="9"/>
      <c r="S135" s="9"/>
      <c r="T135" s="9"/>
      <c r="U135" s="44">
        <v>33.599999999999994</v>
      </c>
      <c r="V135" s="44">
        <v>33.599999999999994</v>
      </c>
      <c r="W135" s="22"/>
      <c r="X135" s="22">
        <v>2.8</v>
      </c>
      <c r="AC135">
        <v>2</v>
      </c>
      <c r="AD135">
        <v>16</v>
      </c>
      <c r="AE135">
        <v>0</v>
      </c>
      <c r="AF135" s="22">
        <v>2.8</v>
      </c>
      <c r="AG135">
        <v>2</v>
      </c>
      <c r="AH135">
        <v>16</v>
      </c>
      <c r="AI135">
        <v>0</v>
      </c>
      <c r="AJ135" s="22">
        <v>2.8</v>
      </c>
      <c r="BW135" s="44">
        <v>33.599999999999994</v>
      </c>
      <c r="BX135" s="44">
        <v>33.599999999999994</v>
      </c>
      <c r="CJ135">
        <v>1469</v>
      </c>
      <c r="CK135" s="2" t="s">
        <v>545</v>
      </c>
    </row>
    <row r="137" spans="1:88" ht="12.75">
      <c r="A137" s="18">
        <v>1469</v>
      </c>
      <c r="B137" s="14" t="s">
        <v>1239</v>
      </c>
      <c r="C137" s="14" t="s">
        <v>644</v>
      </c>
      <c r="D137" s="14" t="s">
        <v>235</v>
      </c>
      <c r="E137" s="14" t="s">
        <v>372</v>
      </c>
      <c r="F137" s="32" t="s">
        <v>313</v>
      </c>
      <c r="G137" s="2"/>
      <c r="H137" s="2" t="s">
        <v>537</v>
      </c>
      <c r="I137" s="2" t="s">
        <v>840</v>
      </c>
      <c r="J137" s="14" t="s">
        <v>415</v>
      </c>
      <c r="K137" s="2" t="s">
        <v>556</v>
      </c>
      <c r="L137" s="14" t="s">
        <v>509</v>
      </c>
      <c r="M137" s="14" t="s">
        <v>907</v>
      </c>
      <c r="N137" s="2" t="s">
        <v>1660</v>
      </c>
      <c r="O137" s="10">
        <v>5</v>
      </c>
      <c r="P137" s="10"/>
      <c r="Q137" s="10"/>
      <c r="R137" s="9"/>
      <c r="S137" s="9"/>
      <c r="T137" s="9"/>
      <c r="U137" s="44">
        <v>330</v>
      </c>
      <c r="V137" s="44">
        <v>66</v>
      </c>
      <c r="W137" s="22"/>
      <c r="X137" s="22">
        <v>5.5</v>
      </c>
      <c r="AF137" s="22">
        <v>27.5</v>
      </c>
      <c r="AG137">
        <v>5</v>
      </c>
      <c r="AH137">
        <v>10</v>
      </c>
      <c r="AI137">
        <v>0</v>
      </c>
      <c r="AJ137" s="22">
        <v>5.5</v>
      </c>
      <c r="BW137" s="44">
        <v>330</v>
      </c>
      <c r="BX137" s="44">
        <v>66</v>
      </c>
      <c r="CJ137">
        <v>1469</v>
      </c>
    </row>
    <row r="138" spans="1:88" ht="12.75">
      <c r="A138" s="18">
        <v>1469</v>
      </c>
      <c r="B138" s="14" t="s">
        <v>1239</v>
      </c>
      <c r="C138" s="14" t="s">
        <v>644</v>
      </c>
      <c r="D138" s="14" t="s">
        <v>235</v>
      </c>
      <c r="E138" s="14" t="s">
        <v>372</v>
      </c>
      <c r="F138" s="32" t="s">
        <v>314</v>
      </c>
      <c r="G138" s="2"/>
      <c r="H138" s="2" t="s">
        <v>537</v>
      </c>
      <c r="I138" s="2" t="s">
        <v>863</v>
      </c>
      <c r="J138" s="14" t="s">
        <v>415</v>
      </c>
      <c r="K138" s="2" t="s">
        <v>569</v>
      </c>
      <c r="L138" s="14" t="s">
        <v>509</v>
      </c>
      <c r="M138" s="14" t="s">
        <v>906</v>
      </c>
      <c r="N138" s="2" t="s">
        <v>1660</v>
      </c>
      <c r="O138" s="10">
        <v>9</v>
      </c>
      <c r="P138" s="10"/>
      <c r="Q138" s="10"/>
      <c r="R138" s="9"/>
      <c r="S138" s="9"/>
      <c r="T138" s="9"/>
      <c r="U138" s="44">
        <v>594</v>
      </c>
      <c r="V138" s="44">
        <v>66</v>
      </c>
      <c r="W138" s="22"/>
      <c r="X138" s="22">
        <v>5.5</v>
      </c>
      <c r="AF138" s="22">
        <v>49.5</v>
      </c>
      <c r="AG138">
        <v>5</v>
      </c>
      <c r="AH138">
        <v>10</v>
      </c>
      <c r="AI138">
        <v>0</v>
      </c>
      <c r="AJ138" s="22">
        <v>5.5</v>
      </c>
      <c r="BW138" s="44">
        <v>594</v>
      </c>
      <c r="BX138" s="44">
        <v>66</v>
      </c>
      <c r="CJ138">
        <v>1469</v>
      </c>
    </row>
    <row r="140" spans="1:89" ht="12.75">
      <c r="A140" s="18">
        <v>1470</v>
      </c>
      <c r="B140" s="14" t="s">
        <v>1117</v>
      </c>
      <c r="C140" s="14" t="s">
        <v>644</v>
      </c>
      <c r="D140" s="14" t="s">
        <v>235</v>
      </c>
      <c r="E140" s="14" t="s">
        <v>373</v>
      </c>
      <c r="F140" s="32" t="s">
        <v>315</v>
      </c>
      <c r="G140" s="2"/>
      <c r="H140" s="2" t="s">
        <v>537</v>
      </c>
      <c r="I140" s="2" t="s">
        <v>857</v>
      </c>
      <c r="J140" s="14" t="s">
        <v>415</v>
      </c>
      <c r="K140" s="2" t="s">
        <v>582</v>
      </c>
      <c r="L140" s="14" t="s">
        <v>509</v>
      </c>
      <c r="M140" s="14" t="s">
        <v>898</v>
      </c>
      <c r="N140" s="2" t="s">
        <v>1660</v>
      </c>
      <c r="O140" s="10">
        <v>15</v>
      </c>
      <c r="P140" s="10"/>
      <c r="Q140" s="10"/>
      <c r="R140" s="9"/>
      <c r="S140" s="9"/>
      <c r="T140" s="9"/>
      <c r="U140" s="44">
        <v>1530</v>
      </c>
      <c r="V140" s="44">
        <v>102</v>
      </c>
      <c r="W140" s="22"/>
      <c r="X140" s="22">
        <v>8.5</v>
      </c>
      <c r="AC140">
        <v>127</v>
      </c>
      <c r="AD140">
        <v>10</v>
      </c>
      <c r="AE140">
        <v>0</v>
      </c>
      <c r="AF140" s="22">
        <v>127.5</v>
      </c>
      <c r="AG140">
        <v>8</v>
      </c>
      <c r="AH140">
        <v>10</v>
      </c>
      <c r="AI140">
        <v>0</v>
      </c>
      <c r="AJ140" s="22">
        <v>8.5</v>
      </c>
      <c r="BW140" s="44">
        <v>1530</v>
      </c>
      <c r="BX140" s="44">
        <v>102</v>
      </c>
      <c r="CJ140">
        <v>1470</v>
      </c>
      <c r="CK140" s="2" t="s">
        <v>582</v>
      </c>
    </row>
    <row r="142" spans="1:89" ht="12.75">
      <c r="A142" s="18">
        <v>1470</v>
      </c>
      <c r="B142" s="14" t="s">
        <v>1239</v>
      </c>
      <c r="C142" s="14" t="s">
        <v>644</v>
      </c>
      <c r="D142" s="14" t="s">
        <v>236</v>
      </c>
      <c r="E142" s="14" t="s">
        <v>371</v>
      </c>
      <c r="F142" s="32" t="s">
        <v>322</v>
      </c>
      <c r="G142" s="2"/>
      <c r="H142" s="2" t="s">
        <v>537</v>
      </c>
      <c r="I142" s="2" t="s">
        <v>805</v>
      </c>
      <c r="J142" s="14" t="s">
        <v>415</v>
      </c>
      <c r="K142" s="2" t="s">
        <v>568</v>
      </c>
      <c r="L142" s="14" t="s">
        <v>509</v>
      </c>
      <c r="M142" s="14" t="s">
        <v>906</v>
      </c>
      <c r="N142" s="2" t="s">
        <v>1660</v>
      </c>
      <c r="O142" s="10">
        <v>9</v>
      </c>
      <c r="P142" s="10"/>
      <c r="Q142" s="10"/>
      <c r="R142" s="9"/>
      <c r="S142" s="9"/>
      <c r="T142" s="9"/>
      <c r="U142" s="44">
        <v>594</v>
      </c>
      <c r="V142" s="44">
        <v>66</v>
      </c>
      <c r="W142" s="22"/>
      <c r="X142" s="22">
        <v>5.5</v>
      </c>
      <c r="AF142" s="22">
        <v>49.5</v>
      </c>
      <c r="AG142">
        <v>5</v>
      </c>
      <c r="AH142">
        <v>10</v>
      </c>
      <c r="AI142">
        <v>0</v>
      </c>
      <c r="AJ142" s="22">
        <v>5.5</v>
      </c>
      <c r="BW142" s="44">
        <v>594</v>
      </c>
      <c r="BX142" s="44">
        <v>66</v>
      </c>
      <c r="CJ142">
        <v>1470</v>
      </c>
      <c r="CK142" s="2" t="s">
        <v>568</v>
      </c>
    </row>
    <row r="144" spans="1:89" ht="12.75">
      <c r="A144" s="18">
        <v>1471</v>
      </c>
      <c r="B144" s="14" t="s">
        <v>1117</v>
      </c>
      <c r="C144" s="14" t="s">
        <v>644</v>
      </c>
      <c r="D144" s="14" t="s">
        <v>236</v>
      </c>
      <c r="E144" s="14" t="s">
        <v>372</v>
      </c>
      <c r="F144" s="32" t="s">
        <v>328</v>
      </c>
      <c r="G144" s="2">
        <v>1</v>
      </c>
      <c r="H144" s="2" t="s">
        <v>537</v>
      </c>
      <c r="I144" s="2" t="s">
        <v>1003</v>
      </c>
      <c r="J144" s="14" t="s">
        <v>415</v>
      </c>
      <c r="K144" s="2" t="s">
        <v>584</v>
      </c>
      <c r="L144" s="14" t="s">
        <v>509</v>
      </c>
      <c r="M144" s="14" t="s">
        <v>897</v>
      </c>
      <c r="N144" s="2" t="s">
        <v>618</v>
      </c>
      <c r="O144" s="10">
        <v>5</v>
      </c>
      <c r="P144" s="10"/>
      <c r="Q144" s="10"/>
      <c r="R144" s="9"/>
      <c r="S144" s="9"/>
      <c r="T144" s="9"/>
      <c r="U144" s="44">
        <v>510</v>
      </c>
      <c r="V144" s="44">
        <v>102</v>
      </c>
      <c r="W144" s="22"/>
      <c r="X144" s="22">
        <v>8.5</v>
      </c>
      <c r="AF144" s="22">
        <v>42.5</v>
      </c>
      <c r="AG144">
        <v>8</v>
      </c>
      <c r="AH144">
        <v>10</v>
      </c>
      <c r="AI144">
        <v>0</v>
      </c>
      <c r="AJ144" s="22">
        <v>8.5</v>
      </c>
      <c r="BM144" s="22">
        <v>0.06666666666666667</v>
      </c>
      <c r="BO144" s="22">
        <v>0.06666666666666667</v>
      </c>
      <c r="BP144" s="22">
        <v>8.566666666666666</v>
      </c>
      <c r="BR144" s="37">
        <v>0.007782101167315175</v>
      </c>
      <c r="BS144" s="37">
        <v>0.007782101167315175</v>
      </c>
      <c r="BW144" s="44">
        <v>514</v>
      </c>
      <c r="BX144" s="44">
        <v>102.8</v>
      </c>
      <c r="CJ144">
        <v>1471</v>
      </c>
      <c r="CK144" s="2" t="s">
        <v>584</v>
      </c>
    </row>
    <row r="145" spans="1:89" ht="12.75">
      <c r="A145" s="18">
        <v>1471</v>
      </c>
      <c r="B145" s="14" t="s">
        <v>1117</v>
      </c>
      <c r="C145" s="14" t="s">
        <v>644</v>
      </c>
      <c r="D145" s="14" t="s">
        <v>236</v>
      </c>
      <c r="E145" s="14" t="s">
        <v>372</v>
      </c>
      <c r="F145" s="32" t="s">
        <v>329</v>
      </c>
      <c r="G145" s="2">
        <v>1</v>
      </c>
      <c r="H145" s="2" t="s">
        <v>537</v>
      </c>
      <c r="I145" s="2" t="s">
        <v>1498</v>
      </c>
      <c r="J145" s="14" t="s">
        <v>1414</v>
      </c>
      <c r="K145" s="2" t="s">
        <v>594</v>
      </c>
      <c r="L145" s="14" t="s">
        <v>509</v>
      </c>
      <c r="M145" s="14" t="s">
        <v>906</v>
      </c>
      <c r="N145" s="2" t="s">
        <v>1134</v>
      </c>
      <c r="O145" s="10">
        <v>7</v>
      </c>
      <c r="P145" s="10"/>
      <c r="Q145" s="10"/>
      <c r="R145" s="9"/>
      <c r="S145" s="9"/>
      <c r="T145" s="9"/>
      <c r="U145" s="44">
        <v>237.30000000000004</v>
      </c>
      <c r="V145" s="44">
        <v>33.900000000000006</v>
      </c>
      <c r="W145" s="22"/>
      <c r="X145" s="22">
        <v>2.825</v>
      </c>
      <c r="AF145" s="22">
        <v>19.775000000000002</v>
      </c>
      <c r="AG145">
        <v>2</v>
      </c>
      <c r="AH145">
        <v>16</v>
      </c>
      <c r="AI145">
        <v>0</v>
      </c>
      <c r="AJ145" s="22">
        <v>2.825</v>
      </c>
      <c r="AL145" s="22">
        <v>2.825</v>
      </c>
      <c r="BW145" s="44">
        <v>237.30000000000004</v>
      </c>
      <c r="BX145" s="44">
        <v>33.900000000000006</v>
      </c>
      <c r="CJ145">
        <v>1471</v>
      </c>
      <c r="CK145" s="2" t="s">
        <v>594</v>
      </c>
    </row>
    <row r="146" spans="1:90" ht="12.75">
      <c r="A146" s="18">
        <v>1471</v>
      </c>
      <c r="B146" s="14" t="s">
        <v>1117</v>
      </c>
      <c r="C146" s="14" t="s">
        <v>644</v>
      </c>
      <c r="D146" s="14" t="s">
        <v>236</v>
      </c>
      <c r="E146" s="14" t="s">
        <v>372</v>
      </c>
      <c r="F146" s="32" t="s">
        <v>330</v>
      </c>
      <c r="G146" s="2">
        <v>1</v>
      </c>
      <c r="H146" s="2" t="s">
        <v>603</v>
      </c>
      <c r="I146" s="2" t="s">
        <v>1499</v>
      </c>
      <c r="J146" s="14" t="s">
        <v>1414</v>
      </c>
      <c r="K146" s="2" t="s">
        <v>6</v>
      </c>
      <c r="L146" s="14" t="s">
        <v>509</v>
      </c>
      <c r="M146" s="14" t="s">
        <v>906</v>
      </c>
      <c r="N146" s="2" t="s">
        <v>1133</v>
      </c>
      <c r="O146" s="10">
        <v>3</v>
      </c>
      <c r="P146" s="10"/>
      <c r="Q146" s="10">
        <v>78</v>
      </c>
      <c r="R146" s="9"/>
      <c r="S146" s="9"/>
      <c r="T146" s="9"/>
      <c r="U146" s="44">
        <v>93.6</v>
      </c>
      <c r="V146" s="44">
        <v>31.200000000000003</v>
      </c>
      <c r="W146" s="22">
        <v>24</v>
      </c>
      <c r="X146" s="22">
        <v>2.6</v>
      </c>
      <c r="AF146" s="22">
        <v>7.800000000000001</v>
      </c>
      <c r="AG146">
        <v>2</v>
      </c>
      <c r="AH146">
        <v>12</v>
      </c>
      <c r="AI146">
        <v>0</v>
      </c>
      <c r="AJ146" s="22">
        <v>2.6</v>
      </c>
      <c r="AK146" s="22">
        <v>2</v>
      </c>
      <c r="AL146" s="22">
        <v>2.6</v>
      </c>
      <c r="BW146" s="44">
        <v>93.6</v>
      </c>
      <c r="BX146" s="44">
        <v>31.200000000000003</v>
      </c>
      <c r="CJ146">
        <v>1471</v>
      </c>
      <c r="CK146" s="2" t="s">
        <v>6</v>
      </c>
      <c r="CL146" t="s">
        <v>85</v>
      </c>
    </row>
    <row r="148" spans="1:89" ht="12.75">
      <c r="A148" s="18">
        <v>1471</v>
      </c>
      <c r="B148" s="14" t="s">
        <v>1239</v>
      </c>
      <c r="C148" s="14" t="s">
        <v>644</v>
      </c>
      <c r="D148" s="14" t="s">
        <v>237</v>
      </c>
      <c r="E148" s="14" t="s">
        <v>372</v>
      </c>
      <c r="F148" s="32" t="s">
        <v>334</v>
      </c>
      <c r="G148" s="2"/>
      <c r="H148" s="2" t="s">
        <v>537</v>
      </c>
      <c r="I148" s="2" t="s">
        <v>806</v>
      </c>
      <c r="J148" s="14" t="s">
        <v>415</v>
      </c>
      <c r="K148" s="2" t="s">
        <v>557</v>
      </c>
      <c r="L148" s="14" t="s">
        <v>507</v>
      </c>
      <c r="M148" s="14" t="s">
        <v>442</v>
      </c>
      <c r="N148" s="2" t="s">
        <v>1660</v>
      </c>
      <c r="O148" s="10">
        <v>8</v>
      </c>
      <c r="P148" s="10"/>
      <c r="Q148" s="10"/>
      <c r="R148" s="9"/>
      <c r="S148" s="9"/>
      <c r="T148" s="9"/>
      <c r="U148" s="44">
        <v>540</v>
      </c>
      <c r="V148" s="44">
        <v>67.5</v>
      </c>
      <c r="W148" s="22"/>
      <c r="X148" s="22">
        <v>5.625</v>
      </c>
      <c r="AC148">
        <v>45</v>
      </c>
      <c r="AD148">
        <v>0</v>
      </c>
      <c r="AE148">
        <v>0</v>
      </c>
      <c r="AF148" s="22">
        <v>45</v>
      </c>
      <c r="AG148">
        <v>5</v>
      </c>
      <c r="AH148">
        <v>12</v>
      </c>
      <c r="AI148">
        <v>6</v>
      </c>
      <c r="AJ148" s="6">
        <v>5.625</v>
      </c>
      <c r="BW148" s="44">
        <v>540</v>
      </c>
      <c r="BX148" s="44">
        <v>67.5</v>
      </c>
      <c r="CJ148">
        <v>1471</v>
      </c>
      <c r="CK148" s="2" t="s">
        <v>557</v>
      </c>
    </row>
    <row r="149" spans="1:89" ht="12.75">
      <c r="A149" s="18">
        <v>1471</v>
      </c>
      <c r="B149" s="14" t="s">
        <v>1239</v>
      </c>
      <c r="C149" s="14" t="s">
        <v>644</v>
      </c>
      <c r="D149" s="14" t="s">
        <v>237</v>
      </c>
      <c r="E149" s="14" t="s">
        <v>372</v>
      </c>
      <c r="F149" s="32" t="s">
        <v>335</v>
      </c>
      <c r="G149" s="2"/>
      <c r="H149" s="2" t="s">
        <v>537</v>
      </c>
      <c r="I149" s="2" t="s">
        <v>808</v>
      </c>
      <c r="J149" s="14" t="s">
        <v>415</v>
      </c>
      <c r="K149" s="2" t="s">
        <v>568</v>
      </c>
      <c r="L149" s="14" t="s">
        <v>509</v>
      </c>
      <c r="M149" s="14" t="s">
        <v>906</v>
      </c>
      <c r="N149" s="2" t="s">
        <v>1660</v>
      </c>
      <c r="O149" s="10">
        <v>5</v>
      </c>
      <c r="P149" s="10"/>
      <c r="Q149" s="10"/>
      <c r="R149" s="9"/>
      <c r="S149" s="9"/>
      <c r="T149" s="9"/>
      <c r="U149" s="44">
        <v>322.5</v>
      </c>
      <c r="V149" s="44">
        <v>64.5</v>
      </c>
      <c r="W149" s="22"/>
      <c r="X149" s="22">
        <v>5.375</v>
      </c>
      <c r="AF149" s="22">
        <v>26.875</v>
      </c>
      <c r="AG149">
        <v>5</v>
      </c>
      <c r="AH149">
        <v>7</v>
      </c>
      <c r="AI149">
        <v>6</v>
      </c>
      <c r="AJ149" s="6">
        <v>5.375</v>
      </c>
      <c r="BW149" s="44">
        <v>322.5</v>
      </c>
      <c r="BX149" s="44">
        <v>64.5</v>
      </c>
      <c r="CJ149">
        <v>1471</v>
      </c>
      <c r="CK149" s="2" t="s">
        <v>568</v>
      </c>
    </row>
    <row r="151" spans="1:90" ht="12.75">
      <c r="A151" s="18">
        <v>1472</v>
      </c>
      <c r="B151" s="14" t="s">
        <v>1117</v>
      </c>
      <c r="C151" s="14" t="s">
        <v>644</v>
      </c>
      <c r="D151" s="14" t="s">
        <v>237</v>
      </c>
      <c r="E151" s="14" t="s">
        <v>373</v>
      </c>
      <c r="F151" s="32" t="s">
        <v>337</v>
      </c>
      <c r="G151" s="2">
        <v>1</v>
      </c>
      <c r="H151" s="2" t="s">
        <v>537</v>
      </c>
      <c r="I151" s="2" t="s">
        <v>810</v>
      </c>
      <c r="J151" s="14" t="s">
        <v>415</v>
      </c>
      <c r="K151" s="2" t="s">
        <v>566</v>
      </c>
      <c r="L151" s="14" t="s">
        <v>509</v>
      </c>
      <c r="M151" s="14" t="s">
        <v>897</v>
      </c>
      <c r="N151" s="2" t="s">
        <v>619</v>
      </c>
      <c r="O151" s="10">
        <v>8</v>
      </c>
      <c r="P151" s="10"/>
      <c r="Q151" s="10"/>
      <c r="R151" s="9"/>
      <c r="S151" s="9"/>
      <c r="T151" s="9"/>
      <c r="U151" s="44">
        <v>864</v>
      </c>
      <c r="V151" s="44">
        <v>108</v>
      </c>
      <c r="W151" s="22"/>
      <c r="X151" s="22">
        <v>9</v>
      </c>
      <c r="AF151" s="22">
        <v>72</v>
      </c>
      <c r="AG151">
        <v>9</v>
      </c>
      <c r="AH151">
        <v>0</v>
      </c>
      <c r="AI151">
        <v>0</v>
      </c>
      <c r="AJ151" s="6">
        <v>9</v>
      </c>
      <c r="AV151" s="6">
        <v>9</v>
      </c>
      <c r="AX151" s="6">
        <v>9</v>
      </c>
      <c r="BG151" s="6">
        <v>9</v>
      </c>
      <c r="BM151" s="22">
        <v>0.06666666666666667</v>
      </c>
      <c r="BO151" s="22">
        <v>0.06666666666666667</v>
      </c>
      <c r="BP151" s="22">
        <v>9.066666666666666</v>
      </c>
      <c r="BR151" s="37">
        <v>0.007352941176470588</v>
      </c>
      <c r="BS151" s="37">
        <v>0.007352941176470588</v>
      </c>
      <c r="BW151" s="44">
        <v>870.4</v>
      </c>
      <c r="BX151" s="44">
        <v>108.8</v>
      </c>
      <c r="CJ151">
        <v>1472</v>
      </c>
      <c r="CK151" s="2" t="s">
        <v>566</v>
      </c>
      <c r="CL151" t="s">
        <v>80</v>
      </c>
    </row>
    <row r="152" spans="1:90" ht="12.75">
      <c r="A152" s="18">
        <v>1472</v>
      </c>
      <c r="B152" s="14" t="s">
        <v>1117</v>
      </c>
      <c r="C152" s="14" t="s">
        <v>644</v>
      </c>
      <c r="D152" s="14" t="s">
        <v>237</v>
      </c>
      <c r="E152" s="14" t="s">
        <v>373</v>
      </c>
      <c r="F152" s="32" t="s">
        <v>338</v>
      </c>
      <c r="G152" s="2">
        <v>1</v>
      </c>
      <c r="H152" s="2" t="s">
        <v>537</v>
      </c>
      <c r="I152" s="2" t="s">
        <v>895</v>
      </c>
      <c r="J152" s="14" t="s">
        <v>415</v>
      </c>
      <c r="K152" s="2" t="s">
        <v>555</v>
      </c>
      <c r="L152" s="14" t="s">
        <v>509</v>
      </c>
      <c r="M152" s="14" t="s">
        <v>416</v>
      </c>
      <c r="N152" s="2" t="s">
        <v>619</v>
      </c>
      <c r="O152" s="10">
        <v>7</v>
      </c>
      <c r="P152" s="10"/>
      <c r="Q152" s="10"/>
      <c r="R152" s="9"/>
      <c r="S152" s="9"/>
      <c r="T152" s="9"/>
      <c r="U152" s="44">
        <v>756</v>
      </c>
      <c r="V152" s="44">
        <v>108</v>
      </c>
      <c r="W152" s="22"/>
      <c r="X152" s="22">
        <v>9</v>
      </c>
      <c r="AF152" s="22">
        <v>63</v>
      </c>
      <c r="AG152">
        <v>9</v>
      </c>
      <c r="AH152">
        <v>0</v>
      </c>
      <c r="AI152">
        <v>0</v>
      </c>
      <c r="AJ152" s="6">
        <v>9</v>
      </c>
      <c r="AV152" s="6">
        <v>9</v>
      </c>
      <c r="AX152" s="6">
        <v>9</v>
      </c>
      <c r="BG152" s="6">
        <v>9</v>
      </c>
      <c r="BM152" s="22">
        <v>0.06666666666666667</v>
      </c>
      <c r="BO152" s="22">
        <v>0.06666666666666667</v>
      </c>
      <c r="BP152" s="22">
        <v>9.066666666666666</v>
      </c>
      <c r="BR152" s="37">
        <v>0.007352941176470588</v>
      </c>
      <c r="BS152" s="37">
        <v>0.007352941176470588</v>
      </c>
      <c r="BW152" s="44">
        <v>761.6</v>
      </c>
      <c r="BX152" s="44">
        <v>108.8</v>
      </c>
      <c r="CJ152">
        <v>1472</v>
      </c>
      <c r="CK152" s="2" t="s">
        <v>555</v>
      </c>
      <c r="CL152" t="s">
        <v>1191</v>
      </c>
    </row>
    <row r="154" spans="1:89" ht="12.75">
      <c r="A154" s="18">
        <v>1472</v>
      </c>
      <c r="B154" s="14" t="s">
        <v>1117</v>
      </c>
      <c r="C154" s="14" t="s">
        <v>644</v>
      </c>
      <c r="D154" s="14" t="s">
        <v>237</v>
      </c>
      <c r="E154" s="14" t="s">
        <v>373</v>
      </c>
      <c r="F154" s="32" t="s">
        <v>339</v>
      </c>
      <c r="G154" s="2">
        <v>2</v>
      </c>
      <c r="H154" s="2" t="s">
        <v>537</v>
      </c>
      <c r="I154" s="2" t="s">
        <v>1498</v>
      </c>
      <c r="J154" s="14" t="s">
        <v>1414</v>
      </c>
      <c r="K154" s="2" t="s">
        <v>591</v>
      </c>
      <c r="L154" s="14" t="s">
        <v>509</v>
      </c>
      <c r="M154" s="14" t="s">
        <v>906</v>
      </c>
      <c r="N154" s="2" t="s">
        <v>1136</v>
      </c>
      <c r="O154" s="10">
        <v>7</v>
      </c>
      <c r="P154" s="10"/>
      <c r="Q154" s="10"/>
      <c r="R154" s="9"/>
      <c r="S154" s="9"/>
      <c r="T154" s="9"/>
      <c r="U154" s="44">
        <v>229.59999999999997</v>
      </c>
      <c r="V154" s="44">
        <v>32.8</v>
      </c>
      <c r="W154" s="22"/>
      <c r="X154" s="22">
        <v>2.7333333333333334</v>
      </c>
      <c r="AF154" s="22">
        <v>19.13333333333333</v>
      </c>
      <c r="AG154">
        <v>2</v>
      </c>
      <c r="AH154">
        <v>14</v>
      </c>
      <c r="AI154">
        <v>8</v>
      </c>
      <c r="AJ154" s="6">
        <v>2.7333333333333334</v>
      </c>
      <c r="AL154" s="6">
        <v>2.7333333333333334</v>
      </c>
      <c r="BW154" s="44">
        <v>229.59999999999997</v>
      </c>
      <c r="BX154" s="44">
        <v>32.8</v>
      </c>
      <c r="CJ154">
        <v>1472</v>
      </c>
      <c r="CK154" s="2" t="s">
        <v>591</v>
      </c>
    </row>
    <row r="155" spans="1:89" ht="12.75">
      <c r="A155" s="18">
        <v>1472</v>
      </c>
      <c r="B155" s="14" t="s">
        <v>1117</v>
      </c>
      <c r="C155" s="14" t="s">
        <v>644</v>
      </c>
      <c r="D155" s="14" t="s">
        <v>237</v>
      </c>
      <c r="E155" s="14" t="s">
        <v>373</v>
      </c>
      <c r="F155" s="32" t="s">
        <v>340</v>
      </c>
      <c r="G155" s="2">
        <v>2</v>
      </c>
      <c r="H155" s="2" t="s">
        <v>537</v>
      </c>
      <c r="I155" s="2" t="s">
        <v>1498</v>
      </c>
      <c r="J155" s="14" t="s">
        <v>1414</v>
      </c>
      <c r="K155" s="2" t="s">
        <v>591</v>
      </c>
      <c r="L155" s="14" t="s">
        <v>509</v>
      </c>
      <c r="M155" s="14" t="s">
        <v>906</v>
      </c>
      <c r="N155" s="2" t="s">
        <v>1136</v>
      </c>
      <c r="O155" s="10">
        <v>1</v>
      </c>
      <c r="P155" s="10"/>
      <c r="Q155" s="10"/>
      <c r="R155" s="9"/>
      <c r="S155" s="9"/>
      <c r="T155" s="9"/>
      <c r="U155" s="44">
        <v>34.8</v>
      </c>
      <c r="V155" s="44">
        <v>34.8</v>
      </c>
      <c r="W155" s="22"/>
      <c r="X155" s="22">
        <v>2.9</v>
      </c>
      <c r="AC155">
        <v>2</v>
      </c>
      <c r="AD155">
        <v>18</v>
      </c>
      <c r="AE155">
        <v>0</v>
      </c>
      <c r="AF155" s="22">
        <v>2.9</v>
      </c>
      <c r="AG155">
        <v>2</v>
      </c>
      <c r="AH155">
        <v>18</v>
      </c>
      <c r="AI155">
        <v>0</v>
      </c>
      <c r="AJ155" s="6">
        <v>2.9</v>
      </c>
      <c r="AL155" s="6">
        <v>2.9</v>
      </c>
      <c r="BW155" s="44">
        <v>34.8</v>
      </c>
      <c r="BX155" s="44">
        <v>34.8</v>
      </c>
      <c r="CJ155">
        <v>1472</v>
      </c>
      <c r="CK155" s="2" t="s">
        <v>591</v>
      </c>
    </row>
    <row r="156" spans="1:89" ht="12.75">
      <c r="A156" s="18">
        <v>1472</v>
      </c>
      <c r="B156" s="14" t="s">
        <v>1117</v>
      </c>
      <c r="C156" s="14" t="s">
        <v>644</v>
      </c>
      <c r="D156" s="14" t="s">
        <v>237</v>
      </c>
      <c r="E156" s="14" t="s">
        <v>373</v>
      </c>
      <c r="F156" s="32" t="s">
        <v>341</v>
      </c>
      <c r="G156" s="2">
        <v>2</v>
      </c>
      <c r="H156" s="2" t="s">
        <v>537</v>
      </c>
      <c r="I156" s="2" t="s">
        <v>1498</v>
      </c>
      <c r="J156" s="14" t="s">
        <v>1414</v>
      </c>
      <c r="K156" s="2" t="s">
        <v>591</v>
      </c>
      <c r="L156" s="14" t="s">
        <v>509</v>
      </c>
      <c r="M156" s="14" t="s">
        <v>906</v>
      </c>
      <c r="N156" s="2" t="s">
        <v>1136</v>
      </c>
      <c r="O156" s="10">
        <v>1</v>
      </c>
      <c r="P156" s="10"/>
      <c r="Q156" s="10"/>
      <c r="R156" s="9"/>
      <c r="S156" s="9"/>
      <c r="T156" s="9"/>
      <c r="U156" s="44">
        <v>36</v>
      </c>
      <c r="V156" s="44">
        <v>36</v>
      </c>
      <c r="W156" s="22"/>
      <c r="X156" s="22">
        <v>3</v>
      </c>
      <c r="AC156">
        <v>3</v>
      </c>
      <c r="AD156">
        <v>0</v>
      </c>
      <c r="AE156">
        <v>0</v>
      </c>
      <c r="AF156" s="22">
        <v>3</v>
      </c>
      <c r="AG156">
        <v>3</v>
      </c>
      <c r="AH156">
        <v>0</v>
      </c>
      <c r="AI156">
        <v>0</v>
      </c>
      <c r="AJ156" s="6">
        <v>3</v>
      </c>
      <c r="AL156" s="6">
        <v>3</v>
      </c>
      <c r="BW156" s="44">
        <v>36</v>
      </c>
      <c r="BX156" s="44">
        <v>36</v>
      </c>
      <c r="CJ156">
        <v>1472</v>
      </c>
      <c r="CK156" s="2" t="s">
        <v>591</v>
      </c>
    </row>
    <row r="157" spans="1:89" ht="12.75">
      <c r="A157" s="18">
        <v>1472</v>
      </c>
      <c r="B157" s="14" t="s">
        <v>1117</v>
      </c>
      <c r="C157" s="14" t="s">
        <v>644</v>
      </c>
      <c r="D157" s="14" t="s">
        <v>237</v>
      </c>
      <c r="E157" s="14" t="s">
        <v>373</v>
      </c>
      <c r="F157" s="32" t="s">
        <v>342</v>
      </c>
      <c r="G157" s="2">
        <v>2</v>
      </c>
      <c r="H157" s="2" t="s">
        <v>537</v>
      </c>
      <c r="I157" s="2" t="s">
        <v>1498</v>
      </c>
      <c r="J157" s="14" t="s">
        <v>1414</v>
      </c>
      <c r="K157" s="2" t="s">
        <v>591</v>
      </c>
      <c r="L157" s="14" t="s">
        <v>509</v>
      </c>
      <c r="M157" s="14" t="s">
        <v>906</v>
      </c>
      <c r="N157" s="2" t="s">
        <v>1136</v>
      </c>
      <c r="O157" s="10">
        <v>2</v>
      </c>
      <c r="P157" s="10"/>
      <c r="Q157" s="10"/>
      <c r="R157" s="9"/>
      <c r="S157" s="9"/>
      <c r="T157" s="9"/>
      <c r="U157" s="44">
        <v>64.80000000000001</v>
      </c>
      <c r="V157" s="44">
        <v>32.400000000000006</v>
      </c>
      <c r="W157" s="22"/>
      <c r="X157" s="22">
        <v>2.7</v>
      </c>
      <c r="AF157" s="22">
        <v>5.400000000000001</v>
      </c>
      <c r="AG157">
        <v>2</v>
      </c>
      <c r="AH157">
        <v>14</v>
      </c>
      <c r="AI157">
        <v>0</v>
      </c>
      <c r="AJ157" s="6">
        <v>2.7</v>
      </c>
      <c r="AL157" s="6">
        <v>2.7</v>
      </c>
      <c r="BW157" s="44">
        <v>64.80000000000001</v>
      </c>
      <c r="BX157" s="44">
        <v>32.400000000000006</v>
      </c>
      <c r="CJ157">
        <v>1472</v>
      </c>
      <c r="CK157" s="2" t="s">
        <v>591</v>
      </c>
    </row>
    <row r="159" spans="1:90" ht="12.75">
      <c r="A159" s="18">
        <v>1472</v>
      </c>
      <c r="B159" s="14" t="s">
        <v>1239</v>
      </c>
      <c r="C159" s="14" t="s">
        <v>644</v>
      </c>
      <c r="D159" s="14" t="s">
        <v>238</v>
      </c>
      <c r="E159" s="14" t="s">
        <v>374</v>
      </c>
      <c r="F159" s="32" t="s">
        <v>346</v>
      </c>
      <c r="G159" s="2"/>
      <c r="H159" s="2" t="s">
        <v>537</v>
      </c>
      <c r="I159" s="2" t="s">
        <v>842</v>
      </c>
      <c r="J159" s="14" t="s">
        <v>415</v>
      </c>
      <c r="K159" s="2" t="s">
        <v>567</v>
      </c>
      <c r="L159" s="14" t="s">
        <v>509</v>
      </c>
      <c r="M159" s="14" t="s">
        <v>440</v>
      </c>
      <c r="N159" s="2" t="s">
        <v>1660</v>
      </c>
      <c r="O159" s="10">
        <v>9</v>
      </c>
      <c r="P159" s="10"/>
      <c r="Q159" s="10"/>
      <c r="R159" s="9"/>
      <c r="S159" s="9"/>
      <c r="T159" s="9"/>
      <c r="U159" s="44">
        <v>594</v>
      </c>
      <c r="V159" s="44">
        <v>66</v>
      </c>
      <c r="W159" s="22"/>
      <c r="X159" s="22">
        <v>5.5</v>
      </c>
      <c r="AC159">
        <v>49</v>
      </c>
      <c r="AD159">
        <v>10</v>
      </c>
      <c r="AE159">
        <v>0</v>
      </c>
      <c r="AF159" s="22">
        <v>49.5</v>
      </c>
      <c r="AG159">
        <v>5</v>
      </c>
      <c r="AH159">
        <v>10</v>
      </c>
      <c r="AI159">
        <v>0</v>
      </c>
      <c r="AJ159" s="6">
        <v>5.5</v>
      </c>
      <c r="BM159" s="22">
        <v>0.05</v>
      </c>
      <c r="BO159" s="22">
        <v>0.05</v>
      </c>
      <c r="BP159" s="22">
        <v>5.55</v>
      </c>
      <c r="BR159" s="37">
        <v>0.009009009009009009</v>
      </c>
      <c r="BS159" s="37">
        <v>0.009009009009009009</v>
      </c>
      <c r="BW159" s="44">
        <v>599.4</v>
      </c>
      <c r="BX159" s="44">
        <v>66.6</v>
      </c>
      <c r="CJ159">
        <v>1472</v>
      </c>
      <c r="CK159" s="2" t="s">
        <v>567</v>
      </c>
      <c r="CL159" t="s">
        <v>18</v>
      </c>
    </row>
    <row r="160" spans="1:89" ht="12.75">
      <c r="A160" s="18">
        <v>1472</v>
      </c>
      <c r="B160" s="14" t="s">
        <v>1239</v>
      </c>
      <c r="C160" s="14" t="s">
        <v>644</v>
      </c>
      <c r="D160" s="14" t="s">
        <v>238</v>
      </c>
      <c r="E160" s="14" t="s">
        <v>374</v>
      </c>
      <c r="F160" s="32" t="s">
        <v>347</v>
      </c>
      <c r="G160" s="2"/>
      <c r="H160" s="2" t="s">
        <v>537</v>
      </c>
      <c r="I160" s="2" t="s">
        <v>884</v>
      </c>
      <c r="J160" s="14" t="s">
        <v>415</v>
      </c>
      <c r="K160" s="2" t="s">
        <v>580</v>
      </c>
      <c r="L160" s="14" t="s">
        <v>509</v>
      </c>
      <c r="M160" s="14" t="s">
        <v>1668</v>
      </c>
      <c r="N160" s="2" t="s">
        <v>1660</v>
      </c>
      <c r="O160" s="10">
        <v>1</v>
      </c>
      <c r="P160" s="10"/>
      <c r="Q160" s="10"/>
      <c r="R160" s="9"/>
      <c r="S160" s="9"/>
      <c r="T160" s="9"/>
      <c r="U160" s="44">
        <v>76.80000000000001</v>
      </c>
      <c r="V160" s="44">
        <v>76.80000000000001</v>
      </c>
      <c r="W160" s="22"/>
      <c r="X160" s="22">
        <v>6.4</v>
      </c>
      <c r="AC160">
        <v>6</v>
      </c>
      <c r="AD160">
        <v>8</v>
      </c>
      <c r="AE160">
        <v>0</v>
      </c>
      <c r="AF160" s="22">
        <v>6.400000000000001</v>
      </c>
      <c r="AG160">
        <v>6</v>
      </c>
      <c r="AH160">
        <v>8</v>
      </c>
      <c r="AI160">
        <v>0</v>
      </c>
      <c r="AJ160" s="6">
        <v>6.4</v>
      </c>
      <c r="BW160" s="44">
        <v>76.80000000000001</v>
      </c>
      <c r="BX160" s="44">
        <v>76.80000000000001</v>
      </c>
      <c r="CJ160">
        <v>1472</v>
      </c>
      <c r="CK160" s="2" t="s">
        <v>580</v>
      </c>
    </row>
    <row r="161" spans="1:89" ht="12.75">
      <c r="A161" s="18">
        <v>1472</v>
      </c>
      <c r="B161" s="14" t="s">
        <v>1239</v>
      </c>
      <c r="C161" s="14" t="s">
        <v>644</v>
      </c>
      <c r="D161" s="14" t="s">
        <v>238</v>
      </c>
      <c r="E161" s="14" t="s">
        <v>374</v>
      </c>
      <c r="F161" s="32" t="s">
        <v>348</v>
      </c>
      <c r="G161" s="2"/>
      <c r="H161" s="2" t="s">
        <v>537</v>
      </c>
      <c r="I161" s="2" t="s">
        <v>884</v>
      </c>
      <c r="J161" s="14" t="s">
        <v>415</v>
      </c>
      <c r="K161" s="2" t="s">
        <v>580</v>
      </c>
      <c r="L161" s="14" t="s">
        <v>509</v>
      </c>
      <c r="M161" s="14" t="s">
        <v>1668</v>
      </c>
      <c r="N161" s="2" t="s">
        <v>1660</v>
      </c>
      <c r="O161" s="10">
        <v>2</v>
      </c>
      <c r="P161" s="10"/>
      <c r="Q161" s="10"/>
      <c r="R161" s="9"/>
      <c r="S161" s="9"/>
      <c r="T161" s="9"/>
      <c r="U161" s="44">
        <v>156</v>
      </c>
      <c r="V161" s="44">
        <v>78</v>
      </c>
      <c r="W161" s="22"/>
      <c r="X161" s="22">
        <v>6.5</v>
      </c>
      <c r="AF161" s="22">
        <v>13</v>
      </c>
      <c r="AG161">
        <v>6</v>
      </c>
      <c r="AH161">
        <v>10</v>
      </c>
      <c r="AI161">
        <v>0</v>
      </c>
      <c r="AJ161" s="6">
        <v>6.5</v>
      </c>
      <c r="BW161" s="44">
        <v>156</v>
      </c>
      <c r="BX161" s="44">
        <v>78</v>
      </c>
      <c r="CJ161">
        <v>1472</v>
      </c>
      <c r="CK161" s="2" t="s">
        <v>580</v>
      </c>
    </row>
    <row r="162" spans="1:89" ht="12.75">
      <c r="A162" s="18">
        <v>1472</v>
      </c>
      <c r="B162" s="14" t="s">
        <v>1239</v>
      </c>
      <c r="C162" s="14" t="s">
        <v>644</v>
      </c>
      <c r="D162" s="14" t="s">
        <v>238</v>
      </c>
      <c r="E162" s="14" t="s">
        <v>374</v>
      </c>
      <c r="F162" s="32" t="s">
        <v>349</v>
      </c>
      <c r="G162" s="2"/>
      <c r="H162" s="2" t="s">
        <v>537</v>
      </c>
      <c r="I162" s="2" t="s">
        <v>884</v>
      </c>
      <c r="J162" s="14" t="s">
        <v>415</v>
      </c>
      <c r="K162" s="2" t="s">
        <v>580</v>
      </c>
      <c r="L162" s="14" t="s">
        <v>509</v>
      </c>
      <c r="M162" s="14" t="s">
        <v>1668</v>
      </c>
      <c r="N162" s="2" t="s">
        <v>1660</v>
      </c>
      <c r="O162" s="10">
        <v>2</v>
      </c>
      <c r="P162" s="10"/>
      <c r="Q162" s="10"/>
      <c r="R162" s="9"/>
      <c r="S162" s="9"/>
      <c r="T162" s="9"/>
      <c r="U162" s="44">
        <v>150</v>
      </c>
      <c r="V162" s="44">
        <v>75</v>
      </c>
      <c r="W162" s="22"/>
      <c r="X162" s="22">
        <v>6.25</v>
      </c>
      <c r="AF162" s="22">
        <v>12.5</v>
      </c>
      <c r="AG162">
        <v>6</v>
      </c>
      <c r="AH162">
        <v>5</v>
      </c>
      <c r="AI162">
        <v>0</v>
      </c>
      <c r="AJ162" s="6">
        <v>6.25</v>
      </c>
      <c r="BW162" s="44">
        <v>150</v>
      </c>
      <c r="BX162" s="44">
        <v>75</v>
      </c>
      <c r="CJ162">
        <v>1472</v>
      </c>
      <c r="CK162" s="2" t="s">
        <v>580</v>
      </c>
    </row>
    <row r="164" spans="1:90" ht="12.75">
      <c r="A164" s="18">
        <v>1473</v>
      </c>
      <c r="B164" s="14" t="s">
        <v>1117</v>
      </c>
      <c r="C164" s="14" t="s">
        <v>644</v>
      </c>
      <c r="D164" s="14" t="s">
        <v>238</v>
      </c>
      <c r="E164" s="14" t="s">
        <v>375</v>
      </c>
      <c r="F164" s="32" t="s">
        <v>350</v>
      </c>
      <c r="G164" s="2">
        <v>1</v>
      </c>
      <c r="H164" s="2" t="s">
        <v>537</v>
      </c>
      <c r="I164" s="2" t="s">
        <v>486</v>
      </c>
      <c r="J164" s="14" t="s">
        <v>415</v>
      </c>
      <c r="K164" s="2" t="s">
        <v>551</v>
      </c>
      <c r="L164" s="14" t="s">
        <v>509</v>
      </c>
      <c r="M164" s="14" t="s">
        <v>1269</v>
      </c>
      <c r="N164" s="2" t="s">
        <v>621</v>
      </c>
      <c r="O164" s="10">
        <v>10</v>
      </c>
      <c r="P164" s="10"/>
      <c r="Q164" s="10"/>
      <c r="R164" s="9"/>
      <c r="S164" s="9"/>
      <c r="T164" s="9"/>
      <c r="U164" s="44">
        <v>1020</v>
      </c>
      <c r="V164" s="44">
        <v>102</v>
      </c>
      <c r="W164" s="22"/>
      <c r="X164" s="22">
        <v>8.5</v>
      </c>
      <c r="AF164" s="22">
        <v>85</v>
      </c>
      <c r="AG164">
        <v>8</v>
      </c>
      <c r="AH164">
        <v>10</v>
      </c>
      <c r="AI164">
        <v>0</v>
      </c>
      <c r="AJ164" s="6">
        <v>8.5</v>
      </c>
      <c r="AV164" s="6">
        <v>8.5</v>
      </c>
      <c r="BL164" s="22">
        <v>0.8</v>
      </c>
      <c r="BM164" s="22">
        <v>0.06666666666666667</v>
      </c>
      <c r="BO164" s="22">
        <v>0.8666666666666667</v>
      </c>
      <c r="BP164" s="22">
        <v>9.366666666666667</v>
      </c>
      <c r="BQ164" s="37">
        <v>0.08540925266903915</v>
      </c>
      <c r="BR164" s="37">
        <v>0.0071174377224199285</v>
      </c>
      <c r="BS164" s="37">
        <v>0.09252669039145907</v>
      </c>
      <c r="BW164" s="44">
        <v>1124</v>
      </c>
      <c r="BX164" s="44">
        <v>112.4</v>
      </c>
      <c r="CJ164">
        <v>1473</v>
      </c>
      <c r="CK164" s="2" t="s">
        <v>551</v>
      </c>
      <c r="CL164" t="s">
        <v>89</v>
      </c>
    </row>
    <row r="165" spans="1:90" ht="12.75">
      <c r="A165" s="18">
        <v>1473</v>
      </c>
      <c r="B165" s="14" t="s">
        <v>1117</v>
      </c>
      <c r="C165" s="14" t="s">
        <v>644</v>
      </c>
      <c r="D165" s="14" t="s">
        <v>238</v>
      </c>
      <c r="E165" s="14" t="s">
        <v>375</v>
      </c>
      <c r="F165" s="32" t="s">
        <v>351</v>
      </c>
      <c r="G165" s="2">
        <v>1</v>
      </c>
      <c r="H165" s="2" t="s">
        <v>537</v>
      </c>
      <c r="I165" s="2" t="s">
        <v>485</v>
      </c>
      <c r="J165" s="14" t="s">
        <v>415</v>
      </c>
      <c r="K165" s="2" t="s">
        <v>550</v>
      </c>
      <c r="L165" s="14" t="s">
        <v>509</v>
      </c>
      <c r="M165" s="14" t="s">
        <v>897</v>
      </c>
      <c r="N165" s="2" t="s">
        <v>621</v>
      </c>
      <c r="O165" s="10">
        <v>5</v>
      </c>
      <c r="P165" s="10"/>
      <c r="Q165" s="10"/>
      <c r="R165" s="9"/>
      <c r="S165" s="9"/>
      <c r="T165" s="9"/>
      <c r="U165" s="44">
        <v>510</v>
      </c>
      <c r="V165" s="44">
        <v>102</v>
      </c>
      <c r="W165" s="22"/>
      <c r="X165" s="22">
        <v>8.5</v>
      </c>
      <c r="AF165" s="22">
        <v>42.5</v>
      </c>
      <c r="AG165">
        <v>8</v>
      </c>
      <c r="AH165">
        <v>10</v>
      </c>
      <c r="AI165">
        <v>0</v>
      </c>
      <c r="AJ165" s="6">
        <v>8.5</v>
      </c>
      <c r="AV165" s="6">
        <v>8.5</v>
      </c>
      <c r="BL165" s="22">
        <v>0.5</v>
      </c>
      <c r="BM165" s="22">
        <v>0.06666666666666667</v>
      </c>
      <c r="BO165" s="22">
        <v>0.5666666666666667</v>
      </c>
      <c r="BP165" s="22">
        <v>9.066666666666666</v>
      </c>
      <c r="BQ165" s="37">
        <v>0.05514705882352941</v>
      </c>
      <c r="BR165" s="37">
        <v>0.007352941176470588</v>
      </c>
      <c r="BS165" s="37">
        <v>0.0625</v>
      </c>
      <c r="BW165" s="44">
        <v>544</v>
      </c>
      <c r="BX165" s="44">
        <v>108.8</v>
      </c>
      <c r="CJ165">
        <v>1473</v>
      </c>
      <c r="CK165" s="2" t="s">
        <v>550</v>
      </c>
      <c r="CL165" t="s">
        <v>2</v>
      </c>
    </row>
    <row r="166" spans="1:89" ht="12.75">
      <c r="A166" s="18"/>
      <c r="B166" s="14"/>
      <c r="C166" s="14"/>
      <c r="D166" s="14"/>
      <c r="E166" s="14"/>
      <c r="F166" s="32"/>
      <c r="G166" s="2"/>
      <c r="H166" s="2"/>
      <c r="I166" s="2"/>
      <c r="J166" s="14"/>
      <c r="K166" s="2"/>
      <c r="L166" s="14"/>
      <c r="M166" s="14"/>
      <c r="N166" s="2"/>
      <c r="O166" s="10"/>
      <c r="P166" s="10"/>
      <c r="Q166" s="10"/>
      <c r="R166" s="9"/>
      <c r="S166" s="9"/>
      <c r="T166" s="9"/>
      <c r="U166" s="44"/>
      <c r="V166" s="44"/>
      <c r="W166" s="22"/>
      <c r="X166" s="22"/>
      <c r="AF166" s="22"/>
      <c r="AJ166" s="6"/>
      <c r="AV166" s="6"/>
      <c r="BL166" s="22"/>
      <c r="BM166" s="22"/>
      <c r="BO166" s="22"/>
      <c r="BP166" s="22"/>
      <c r="BW166" s="44"/>
      <c r="BX166" s="44"/>
      <c r="CK166" s="2"/>
    </row>
    <row r="167" spans="1:89" ht="12.75">
      <c r="A167" s="18">
        <v>1473</v>
      </c>
      <c r="B167" s="14" t="s">
        <v>1117</v>
      </c>
      <c r="C167" s="14" t="s">
        <v>644</v>
      </c>
      <c r="D167" s="14" t="s">
        <v>238</v>
      </c>
      <c r="E167" s="14" t="s">
        <v>375</v>
      </c>
      <c r="F167" s="32" t="s">
        <v>352</v>
      </c>
      <c r="G167" s="2">
        <v>2</v>
      </c>
      <c r="H167" s="2" t="s">
        <v>537</v>
      </c>
      <c r="I167" s="2" t="s">
        <v>610</v>
      </c>
      <c r="J167" s="14" t="s">
        <v>415</v>
      </c>
      <c r="K167" s="2" t="s">
        <v>544</v>
      </c>
      <c r="L167" s="14" t="s">
        <v>507</v>
      </c>
      <c r="M167" s="14" t="s">
        <v>442</v>
      </c>
      <c r="N167" s="2" t="s">
        <v>5</v>
      </c>
      <c r="O167" s="10">
        <v>1</v>
      </c>
      <c r="P167" s="10"/>
      <c r="Q167" s="10"/>
      <c r="R167" s="9"/>
      <c r="S167" s="9"/>
      <c r="T167" s="9"/>
      <c r="U167" s="44">
        <v>36</v>
      </c>
      <c r="V167" s="44">
        <v>36</v>
      </c>
      <c r="W167" s="22"/>
      <c r="X167" s="22">
        <v>3</v>
      </c>
      <c r="AC167">
        <v>3</v>
      </c>
      <c r="AD167">
        <v>0</v>
      </c>
      <c r="AE167">
        <v>0</v>
      </c>
      <c r="AF167" s="22">
        <v>3</v>
      </c>
      <c r="AG167">
        <v>3</v>
      </c>
      <c r="AH167">
        <v>0</v>
      </c>
      <c r="AI167">
        <v>0</v>
      </c>
      <c r="AJ167" s="6">
        <v>3</v>
      </c>
      <c r="AL167" s="6">
        <v>3</v>
      </c>
      <c r="BW167" s="44">
        <v>36</v>
      </c>
      <c r="BX167" s="44">
        <v>36</v>
      </c>
      <c r="CJ167">
        <v>1473</v>
      </c>
      <c r="CK167" s="2" t="s">
        <v>544</v>
      </c>
    </row>
    <row r="168" spans="1:89" ht="12.75">
      <c r="A168" s="18">
        <v>1473</v>
      </c>
      <c r="B168" s="14" t="s">
        <v>1117</v>
      </c>
      <c r="C168" s="14" t="s">
        <v>644</v>
      </c>
      <c r="D168" s="14" t="s">
        <v>238</v>
      </c>
      <c r="E168" s="14" t="s">
        <v>375</v>
      </c>
      <c r="F168" s="32" t="s">
        <v>353</v>
      </c>
      <c r="G168" s="2">
        <v>2</v>
      </c>
      <c r="H168" s="2" t="s">
        <v>537</v>
      </c>
      <c r="I168" s="2" t="s">
        <v>610</v>
      </c>
      <c r="J168" s="14" t="s">
        <v>415</v>
      </c>
      <c r="K168" s="2" t="s">
        <v>544</v>
      </c>
      <c r="L168" s="14" t="s">
        <v>507</v>
      </c>
      <c r="M168" s="14" t="s">
        <v>442</v>
      </c>
      <c r="N168" s="2" t="s">
        <v>5</v>
      </c>
      <c r="O168" s="10">
        <v>1</v>
      </c>
      <c r="P168" s="10"/>
      <c r="Q168" s="10"/>
      <c r="R168" s="9"/>
      <c r="S168" s="9"/>
      <c r="T168" s="9"/>
      <c r="U168" s="44">
        <v>33.599999999999994</v>
      </c>
      <c r="V168" s="44">
        <v>33.599999999999994</v>
      </c>
      <c r="W168" s="22"/>
      <c r="X168" s="22">
        <v>2.8</v>
      </c>
      <c r="AC168">
        <v>2</v>
      </c>
      <c r="AD168">
        <v>16</v>
      </c>
      <c r="AE168">
        <v>0</v>
      </c>
      <c r="AF168" s="22">
        <v>2.7999999999999994</v>
      </c>
      <c r="AG168">
        <v>2</v>
      </c>
      <c r="AH168">
        <v>16</v>
      </c>
      <c r="AI168">
        <v>0</v>
      </c>
      <c r="AJ168" s="6">
        <v>2.8</v>
      </c>
      <c r="AL168" s="6">
        <v>2.8</v>
      </c>
      <c r="BW168" s="44">
        <v>33.599999999999994</v>
      </c>
      <c r="BX168" s="44">
        <v>33.599999999999994</v>
      </c>
      <c r="CJ168">
        <v>1473</v>
      </c>
      <c r="CK168" s="2" t="s">
        <v>544</v>
      </c>
    </row>
    <row r="170" spans="1:89" ht="12.75">
      <c r="A170" s="18">
        <v>1473</v>
      </c>
      <c r="B170" s="14" t="s">
        <v>1238</v>
      </c>
      <c r="C170" s="14" t="s">
        <v>644</v>
      </c>
      <c r="D170" s="14" t="s">
        <v>239</v>
      </c>
      <c r="E170" s="14" t="s">
        <v>376</v>
      </c>
      <c r="F170" s="32" t="s">
        <v>361</v>
      </c>
      <c r="G170" s="2"/>
      <c r="H170" s="2" t="s">
        <v>537</v>
      </c>
      <c r="I170" s="2" t="s">
        <v>841</v>
      </c>
      <c r="J170" s="14" t="s">
        <v>415</v>
      </c>
      <c r="K170" s="2" t="s">
        <v>556</v>
      </c>
      <c r="L170" s="14" t="s">
        <v>509</v>
      </c>
      <c r="M170" s="14" t="s">
        <v>440</v>
      </c>
      <c r="N170" s="2" t="s">
        <v>1660</v>
      </c>
      <c r="O170" s="10">
        <v>8</v>
      </c>
      <c r="P170" s="10"/>
      <c r="Q170" s="10"/>
      <c r="R170" s="9"/>
      <c r="S170" s="9"/>
      <c r="T170" s="9"/>
      <c r="U170" s="44">
        <v>600</v>
      </c>
      <c r="V170" s="44">
        <v>75</v>
      </c>
      <c r="W170" s="22"/>
      <c r="X170" s="22">
        <v>6.25</v>
      </c>
      <c r="AF170" s="22">
        <v>50</v>
      </c>
      <c r="AG170">
        <v>6</v>
      </c>
      <c r="AH170">
        <v>5</v>
      </c>
      <c r="AI170">
        <v>0</v>
      </c>
      <c r="AJ170" s="6">
        <v>6.25</v>
      </c>
      <c r="BW170" s="44">
        <v>600</v>
      </c>
      <c r="BX170" s="44">
        <v>75</v>
      </c>
      <c r="CJ170">
        <v>1473</v>
      </c>
      <c r="CK170" s="2" t="s">
        <v>556</v>
      </c>
    </row>
    <row r="171" spans="1:89" ht="12.75">
      <c r="A171" s="18">
        <v>1473</v>
      </c>
      <c r="B171" s="14" t="s">
        <v>1238</v>
      </c>
      <c r="C171" s="14" t="s">
        <v>644</v>
      </c>
      <c r="D171" s="14" t="s">
        <v>239</v>
      </c>
      <c r="E171" s="14" t="s">
        <v>376</v>
      </c>
      <c r="F171" s="32" t="s">
        <v>362</v>
      </c>
      <c r="G171" s="2"/>
      <c r="H171" s="2" t="s">
        <v>537</v>
      </c>
      <c r="I171" s="2" t="s">
        <v>876</v>
      </c>
      <c r="J171" s="14" t="s">
        <v>415</v>
      </c>
      <c r="K171" s="2" t="s">
        <v>600</v>
      </c>
      <c r="L171" s="14" t="s">
        <v>509</v>
      </c>
      <c r="M171" s="14" t="s">
        <v>1668</v>
      </c>
      <c r="N171" s="2" t="s">
        <v>1660</v>
      </c>
      <c r="O171" s="10">
        <v>5</v>
      </c>
      <c r="P171" s="10"/>
      <c r="Q171" s="10"/>
      <c r="R171" s="9"/>
      <c r="S171" s="9"/>
      <c r="T171" s="9"/>
      <c r="U171" s="44">
        <v>390</v>
      </c>
      <c r="V171" s="44">
        <v>78</v>
      </c>
      <c r="W171" s="22"/>
      <c r="X171" s="22">
        <v>6.5</v>
      </c>
      <c r="AF171" s="22">
        <v>32.5</v>
      </c>
      <c r="AG171">
        <v>6</v>
      </c>
      <c r="AH171">
        <v>10</v>
      </c>
      <c r="AI171">
        <v>0</v>
      </c>
      <c r="AJ171" s="6">
        <v>6.5</v>
      </c>
      <c r="BW171" s="44">
        <v>390</v>
      </c>
      <c r="BX171" s="44">
        <v>78</v>
      </c>
      <c r="CJ171">
        <v>1473</v>
      </c>
      <c r="CK171" s="2" t="s">
        <v>600</v>
      </c>
    </row>
    <row r="172" spans="1:89" ht="12.75">
      <c r="A172" s="18">
        <v>1473</v>
      </c>
      <c r="B172" s="14" t="s">
        <v>1238</v>
      </c>
      <c r="C172" s="14" t="s">
        <v>644</v>
      </c>
      <c r="D172" s="14" t="s">
        <v>239</v>
      </c>
      <c r="E172" s="14" t="s">
        <v>376</v>
      </c>
      <c r="F172" s="32" t="s">
        <v>363</v>
      </c>
      <c r="G172" s="2"/>
      <c r="H172" s="2" t="s">
        <v>537</v>
      </c>
      <c r="I172" s="2" t="s">
        <v>841</v>
      </c>
      <c r="J172" s="14" t="s">
        <v>415</v>
      </c>
      <c r="K172" s="2" t="s">
        <v>556</v>
      </c>
      <c r="L172" s="14" t="s">
        <v>509</v>
      </c>
      <c r="M172" s="14" t="s">
        <v>440</v>
      </c>
      <c r="N172" s="2" t="s">
        <v>1660</v>
      </c>
      <c r="O172" s="10">
        <v>2</v>
      </c>
      <c r="P172" s="10"/>
      <c r="Q172" s="10"/>
      <c r="R172" s="9"/>
      <c r="S172" s="9"/>
      <c r="T172" s="9"/>
      <c r="U172" s="44">
        <v>150</v>
      </c>
      <c r="V172" s="44">
        <v>75</v>
      </c>
      <c r="W172" s="22"/>
      <c r="X172" s="22">
        <v>6.25</v>
      </c>
      <c r="AF172" s="22">
        <v>12.5</v>
      </c>
      <c r="AG172">
        <v>6</v>
      </c>
      <c r="AH172">
        <v>5</v>
      </c>
      <c r="AI172">
        <v>0</v>
      </c>
      <c r="AJ172" s="6">
        <v>6.25</v>
      </c>
      <c r="BW172" s="44">
        <v>150</v>
      </c>
      <c r="BX172" s="44">
        <v>75</v>
      </c>
      <c r="CJ172">
        <v>1473</v>
      </c>
      <c r="CK172" s="2" t="s">
        <v>556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5.57421875" style="0" customWidth="1"/>
    <col min="10" max="10" width="7.57421875" style="0" customWidth="1"/>
    <col min="11" max="11" width="35.8515625" style="0" customWidth="1"/>
    <col min="12" max="12" width="6.28125" style="0" customWidth="1"/>
    <col min="13" max="13" width="7.57421875" style="0" customWidth="1"/>
    <col min="14" max="14" width="15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5.8515625" style="0" customWidth="1"/>
    <col min="90" max="90" width="71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7:DH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3.7109375" style="0" customWidth="1"/>
    <col min="8" max="8" width="18.851562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7" spans="1:112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</row>
    <row r="8" spans="1:112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</row>
    <row r="9" spans="1:112" ht="12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</row>
    <row r="10" spans="1:112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</row>
    <row r="11" spans="1:112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</row>
    <row r="12" spans="1:112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23.2812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2008-07-29T17:01:40Z</dcterms:modified>
  <cp:category/>
  <cp:version/>
  <cp:contentType/>
  <cp:contentStatus/>
</cp:coreProperties>
</file>